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57869EE5-C48A-4638-AB72-7A83D428EDA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1-'!$A$1:$L$556</definedName>
    <definedName name="_xlnm.Print_Area" localSheetId="0">'Смета СН-2012 по гл. 1-5'!$A$1:$K$549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3" i="1" l="1"/>
  <c r="I553" i="8"/>
  <c r="I550" i="8"/>
  <c r="D553" i="8"/>
  <c r="D550" i="8"/>
  <c r="D547" i="8"/>
  <c r="D546" i="8"/>
  <c r="D545" i="8"/>
  <c r="I532" i="8"/>
  <c r="H532" i="8"/>
  <c r="F532" i="8"/>
  <c r="F531" i="8"/>
  <c r="F530" i="8"/>
  <c r="J529" i="8"/>
  <c r="I529" i="8"/>
  <c r="H529" i="8"/>
  <c r="G529" i="8"/>
  <c r="E527" i="8"/>
  <c r="D527" i="8"/>
  <c r="C527" i="8"/>
  <c r="I525" i="8"/>
  <c r="H525" i="8"/>
  <c r="F525" i="8"/>
  <c r="F524" i="8"/>
  <c r="F523" i="8"/>
  <c r="J522" i="8"/>
  <c r="I522" i="8"/>
  <c r="H522" i="8"/>
  <c r="G522" i="8"/>
  <c r="J521" i="8"/>
  <c r="I521" i="8"/>
  <c r="H521" i="8"/>
  <c r="G521" i="8"/>
  <c r="E519" i="8"/>
  <c r="D519" i="8"/>
  <c r="C519" i="8"/>
  <c r="I517" i="8"/>
  <c r="H517" i="8"/>
  <c r="F517" i="8"/>
  <c r="F516" i="8"/>
  <c r="F515" i="8"/>
  <c r="J514" i="8"/>
  <c r="I514" i="8"/>
  <c r="H514" i="8"/>
  <c r="G514" i="8"/>
  <c r="J513" i="8"/>
  <c r="I513" i="8"/>
  <c r="H513" i="8"/>
  <c r="G513" i="8"/>
  <c r="E511" i="8"/>
  <c r="D511" i="8"/>
  <c r="C511" i="8"/>
  <c r="I509" i="8"/>
  <c r="H509" i="8"/>
  <c r="F509" i="8"/>
  <c r="F508" i="8"/>
  <c r="F507" i="8"/>
  <c r="J506" i="8"/>
  <c r="I506" i="8"/>
  <c r="H506" i="8"/>
  <c r="G506" i="8"/>
  <c r="E504" i="8"/>
  <c r="D504" i="8"/>
  <c r="C504" i="8"/>
  <c r="I502" i="8"/>
  <c r="H502" i="8"/>
  <c r="F502" i="8"/>
  <c r="F501" i="8"/>
  <c r="F500" i="8"/>
  <c r="J499" i="8"/>
  <c r="I499" i="8"/>
  <c r="H499" i="8"/>
  <c r="G499" i="8"/>
  <c r="J498" i="8"/>
  <c r="I498" i="8"/>
  <c r="H498" i="8"/>
  <c r="G498" i="8"/>
  <c r="E496" i="8"/>
  <c r="D496" i="8"/>
  <c r="C496" i="8"/>
  <c r="I494" i="8"/>
  <c r="H494" i="8"/>
  <c r="F494" i="8"/>
  <c r="F493" i="8"/>
  <c r="F492" i="8"/>
  <c r="J491" i="8"/>
  <c r="I491" i="8"/>
  <c r="H491" i="8"/>
  <c r="G491" i="8"/>
  <c r="J490" i="8"/>
  <c r="I490" i="8"/>
  <c r="H490" i="8"/>
  <c r="G490" i="8"/>
  <c r="E488" i="8"/>
  <c r="D488" i="8"/>
  <c r="C488" i="8"/>
  <c r="I486" i="8"/>
  <c r="H486" i="8"/>
  <c r="F486" i="8"/>
  <c r="F485" i="8"/>
  <c r="F484" i="8"/>
  <c r="J483" i="8"/>
  <c r="I483" i="8"/>
  <c r="H483" i="8"/>
  <c r="G483" i="8"/>
  <c r="J482" i="8"/>
  <c r="I482" i="8"/>
  <c r="H482" i="8"/>
  <c r="G482" i="8"/>
  <c r="E480" i="8"/>
  <c r="D480" i="8"/>
  <c r="C480" i="8"/>
  <c r="I478" i="8"/>
  <c r="H478" i="8"/>
  <c r="F478" i="8"/>
  <c r="F477" i="8"/>
  <c r="F476" i="8"/>
  <c r="J475" i="8"/>
  <c r="I475" i="8"/>
  <c r="H475" i="8"/>
  <c r="G475" i="8"/>
  <c r="J474" i="8"/>
  <c r="I474" i="8"/>
  <c r="H474" i="8"/>
  <c r="G474" i="8"/>
  <c r="E472" i="8"/>
  <c r="D472" i="8"/>
  <c r="C472" i="8"/>
  <c r="I470" i="8"/>
  <c r="H470" i="8"/>
  <c r="F470" i="8"/>
  <c r="F469" i="8"/>
  <c r="F468" i="8"/>
  <c r="J467" i="8"/>
  <c r="I467" i="8"/>
  <c r="H467" i="8"/>
  <c r="G467" i="8"/>
  <c r="J466" i="8"/>
  <c r="I466" i="8"/>
  <c r="H466" i="8"/>
  <c r="G466" i="8"/>
  <c r="E464" i="8"/>
  <c r="D464" i="8"/>
  <c r="C464" i="8"/>
  <c r="I462" i="8"/>
  <c r="H462" i="8"/>
  <c r="F462" i="8"/>
  <c r="F461" i="8"/>
  <c r="F460" i="8"/>
  <c r="J459" i="8"/>
  <c r="I459" i="8"/>
  <c r="H459" i="8"/>
  <c r="G459" i="8"/>
  <c r="J458" i="8"/>
  <c r="I458" i="8"/>
  <c r="H458" i="8"/>
  <c r="G458" i="8"/>
  <c r="E456" i="8"/>
  <c r="D456" i="8"/>
  <c r="C456" i="8"/>
  <c r="I454" i="8"/>
  <c r="H454" i="8"/>
  <c r="F454" i="8"/>
  <c r="F453" i="8"/>
  <c r="F452" i="8"/>
  <c r="J451" i="8"/>
  <c r="I451" i="8"/>
  <c r="H451" i="8"/>
  <c r="G451" i="8"/>
  <c r="J450" i="8"/>
  <c r="I450" i="8"/>
  <c r="H450" i="8"/>
  <c r="G450" i="8"/>
  <c r="E448" i="8"/>
  <c r="D448" i="8"/>
  <c r="C448" i="8"/>
  <c r="I446" i="8"/>
  <c r="H446" i="8"/>
  <c r="F446" i="8"/>
  <c r="F445" i="8"/>
  <c r="F444" i="8"/>
  <c r="J443" i="8"/>
  <c r="I443" i="8"/>
  <c r="H443" i="8"/>
  <c r="G443" i="8"/>
  <c r="J442" i="8"/>
  <c r="I442" i="8"/>
  <c r="H442" i="8"/>
  <c r="G442" i="8"/>
  <c r="E440" i="8"/>
  <c r="D440" i="8"/>
  <c r="C440" i="8"/>
  <c r="A439" i="8"/>
  <c r="I433" i="8"/>
  <c r="H433" i="8"/>
  <c r="F433" i="8"/>
  <c r="F432" i="8"/>
  <c r="F431" i="8"/>
  <c r="J430" i="8"/>
  <c r="I430" i="8"/>
  <c r="H430" i="8"/>
  <c r="G430" i="8"/>
  <c r="J429" i="8"/>
  <c r="I429" i="8"/>
  <c r="H429" i="8"/>
  <c r="G429" i="8"/>
  <c r="F428" i="8"/>
  <c r="E428" i="8"/>
  <c r="D428" i="8"/>
  <c r="C428" i="8"/>
  <c r="I426" i="8"/>
  <c r="H426" i="8"/>
  <c r="F426" i="8"/>
  <c r="F425" i="8"/>
  <c r="F424" i="8"/>
  <c r="J423" i="8"/>
  <c r="I423" i="8"/>
  <c r="H423" i="8"/>
  <c r="G423" i="8"/>
  <c r="J422" i="8"/>
  <c r="I422" i="8"/>
  <c r="H422" i="8"/>
  <c r="G422" i="8"/>
  <c r="F421" i="8"/>
  <c r="E421" i="8"/>
  <c r="D421" i="8"/>
  <c r="C421" i="8"/>
  <c r="I419" i="8"/>
  <c r="H419" i="8"/>
  <c r="F419" i="8"/>
  <c r="F418" i="8"/>
  <c r="F417" i="8"/>
  <c r="J416" i="8"/>
  <c r="I416" i="8"/>
  <c r="H416" i="8"/>
  <c r="G416" i="8"/>
  <c r="J415" i="8"/>
  <c r="I415" i="8"/>
  <c r="H415" i="8"/>
  <c r="G415" i="8"/>
  <c r="F414" i="8"/>
  <c r="E414" i="8"/>
  <c r="D414" i="8"/>
  <c r="C414" i="8"/>
  <c r="I412" i="8"/>
  <c r="H412" i="8"/>
  <c r="F412" i="8"/>
  <c r="F411" i="8"/>
  <c r="F410" i="8"/>
  <c r="J409" i="8"/>
  <c r="I409" i="8"/>
  <c r="H409" i="8"/>
  <c r="G409" i="8"/>
  <c r="J408" i="8"/>
  <c r="I408" i="8"/>
  <c r="H408" i="8"/>
  <c r="G408" i="8"/>
  <c r="E406" i="8"/>
  <c r="D406" i="8"/>
  <c r="C406" i="8"/>
  <c r="I404" i="8"/>
  <c r="H404" i="8"/>
  <c r="F404" i="8"/>
  <c r="F403" i="8"/>
  <c r="F402" i="8"/>
  <c r="F401" i="8"/>
  <c r="J400" i="8"/>
  <c r="I400" i="8"/>
  <c r="H400" i="8"/>
  <c r="G400" i="8"/>
  <c r="J399" i="8"/>
  <c r="I399" i="8"/>
  <c r="H399" i="8"/>
  <c r="G399" i="8"/>
  <c r="J398" i="8"/>
  <c r="I398" i="8"/>
  <c r="H398" i="8"/>
  <c r="G398" i="8"/>
  <c r="J397" i="8"/>
  <c r="I397" i="8"/>
  <c r="H397" i="8"/>
  <c r="G397" i="8"/>
  <c r="E395" i="8"/>
  <c r="D395" i="8"/>
  <c r="C395" i="8"/>
  <c r="A394" i="8"/>
  <c r="I388" i="8"/>
  <c r="H388" i="8"/>
  <c r="F388" i="8"/>
  <c r="F387" i="8"/>
  <c r="F386" i="8"/>
  <c r="F385" i="8"/>
  <c r="J384" i="8"/>
  <c r="I384" i="8"/>
  <c r="H384" i="8"/>
  <c r="G384" i="8"/>
  <c r="J383" i="8"/>
  <c r="I383" i="8"/>
  <c r="H383" i="8"/>
  <c r="G383" i="8"/>
  <c r="J382" i="8"/>
  <c r="I382" i="8"/>
  <c r="H382" i="8"/>
  <c r="G382" i="8"/>
  <c r="J381" i="8"/>
  <c r="I381" i="8"/>
  <c r="H381" i="8"/>
  <c r="G381" i="8"/>
  <c r="F380" i="8"/>
  <c r="E380" i="8"/>
  <c r="D380" i="8"/>
  <c r="C380" i="8"/>
  <c r="I378" i="8"/>
  <c r="H378" i="8"/>
  <c r="F378" i="8"/>
  <c r="F377" i="8"/>
  <c r="F376" i="8"/>
  <c r="J375" i="8"/>
  <c r="I375" i="8"/>
  <c r="H375" i="8"/>
  <c r="G375" i="8"/>
  <c r="J374" i="8"/>
  <c r="I374" i="8"/>
  <c r="H374" i="8"/>
  <c r="G374" i="8"/>
  <c r="E372" i="8"/>
  <c r="I370" i="8"/>
  <c r="H370" i="8"/>
  <c r="F370" i="8"/>
  <c r="F369" i="8"/>
  <c r="F368" i="8"/>
  <c r="J367" i="8"/>
  <c r="I367" i="8"/>
  <c r="H367" i="8"/>
  <c r="G367" i="8"/>
  <c r="J366" i="8"/>
  <c r="I366" i="8"/>
  <c r="H366" i="8"/>
  <c r="G366" i="8"/>
  <c r="F365" i="8"/>
  <c r="E365" i="8"/>
  <c r="I363" i="8"/>
  <c r="H363" i="8"/>
  <c r="F363" i="8"/>
  <c r="F362" i="8"/>
  <c r="F361" i="8"/>
  <c r="J360" i="8"/>
  <c r="I360" i="8"/>
  <c r="H360" i="8"/>
  <c r="G360" i="8"/>
  <c r="J359" i="8"/>
  <c r="I359" i="8"/>
  <c r="H359" i="8"/>
  <c r="G359" i="8"/>
  <c r="E357" i="8"/>
  <c r="D357" i="8"/>
  <c r="C357" i="8"/>
  <c r="I355" i="8"/>
  <c r="H355" i="8"/>
  <c r="F355" i="8"/>
  <c r="F354" i="8"/>
  <c r="F353" i="8"/>
  <c r="J352" i="8"/>
  <c r="I352" i="8"/>
  <c r="H352" i="8"/>
  <c r="G352" i="8"/>
  <c r="J351" i="8"/>
  <c r="I351" i="8"/>
  <c r="H351" i="8"/>
  <c r="G351" i="8"/>
  <c r="E349" i="8"/>
  <c r="I347" i="8"/>
  <c r="H347" i="8"/>
  <c r="F347" i="8"/>
  <c r="F346" i="8"/>
  <c r="F345" i="8"/>
  <c r="J344" i="8"/>
  <c r="I344" i="8"/>
  <c r="H344" i="8"/>
  <c r="G344" i="8"/>
  <c r="J343" i="8"/>
  <c r="I343" i="8"/>
  <c r="H343" i="8"/>
  <c r="G343" i="8"/>
  <c r="F342" i="8"/>
  <c r="E342" i="8"/>
  <c r="A341" i="8"/>
  <c r="I335" i="8"/>
  <c r="H335" i="8"/>
  <c r="F335" i="8"/>
  <c r="F334" i="8"/>
  <c r="F333" i="8"/>
  <c r="J332" i="8"/>
  <c r="I332" i="8"/>
  <c r="H332" i="8"/>
  <c r="G332" i="8"/>
  <c r="E330" i="8"/>
  <c r="D330" i="8"/>
  <c r="C330" i="8"/>
  <c r="I328" i="8"/>
  <c r="H328" i="8"/>
  <c r="F328" i="8"/>
  <c r="F327" i="8"/>
  <c r="F326" i="8"/>
  <c r="J325" i="8"/>
  <c r="I325" i="8"/>
  <c r="H325" i="8"/>
  <c r="G325" i="8"/>
  <c r="J324" i="8"/>
  <c r="I324" i="8"/>
  <c r="H324" i="8"/>
  <c r="G324" i="8"/>
  <c r="E322" i="8"/>
  <c r="D322" i="8"/>
  <c r="C322" i="8"/>
  <c r="I320" i="8"/>
  <c r="H320" i="8"/>
  <c r="F320" i="8"/>
  <c r="F319" i="8"/>
  <c r="F318" i="8"/>
  <c r="J317" i="8"/>
  <c r="I317" i="8"/>
  <c r="H317" i="8"/>
  <c r="G317" i="8"/>
  <c r="J316" i="8"/>
  <c r="I316" i="8"/>
  <c r="H316" i="8"/>
  <c r="G316" i="8"/>
  <c r="F315" i="8"/>
  <c r="E315" i="8"/>
  <c r="D315" i="8"/>
  <c r="C315" i="8"/>
  <c r="I313" i="8"/>
  <c r="H313" i="8"/>
  <c r="F313" i="8"/>
  <c r="F312" i="8"/>
  <c r="F311" i="8"/>
  <c r="J310" i="8"/>
  <c r="I310" i="8"/>
  <c r="H310" i="8"/>
  <c r="G310" i="8"/>
  <c r="F309" i="8"/>
  <c r="E309" i="8"/>
  <c r="D309" i="8"/>
  <c r="C309" i="8"/>
  <c r="I307" i="8"/>
  <c r="H307" i="8"/>
  <c r="F307" i="8"/>
  <c r="F306" i="8"/>
  <c r="F305" i="8"/>
  <c r="J304" i="8"/>
  <c r="I304" i="8"/>
  <c r="H304" i="8"/>
  <c r="G304" i="8"/>
  <c r="J303" i="8"/>
  <c r="I303" i="8"/>
  <c r="H303" i="8"/>
  <c r="G303" i="8"/>
  <c r="E301" i="8"/>
  <c r="D301" i="8"/>
  <c r="C301" i="8"/>
  <c r="I299" i="8"/>
  <c r="H299" i="8"/>
  <c r="F299" i="8"/>
  <c r="F298" i="8"/>
  <c r="F297" i="8"/>
  <c r="J296" i="8"/>
  <c r="I296" i="8"/>
  <c r="H296" i="8"/>
  <c r="G296" i="8"/>
  <c r="J295" i="8"/>
  <c r="I295" i="8"/>
  <c r="H295" i="8"/>
  <c r="G295" i="8"/>
  <c r="F294" i="8"/>
  <c r="E294" i="8"/>
  <c r="D294" i="8"/>
  <c r="C294" i="8"/>
  <c r="I292" i="8"/>
  <c r="H292" i="8"/>
  <c r="F292" i="8"/>
  <c r="F291" i="8"/>
  <c r="F290" i="8"/>
  <c r="J289" i="8"/>
  <c r="I289" i="8"/>
  <c r="H289" i="8"/>
  <c r="G289" i="8"/>
  <c r="F288" i="8"/>
  <c r="E288" i="8"/>
  <c r="D288" i="8"/>
  <c r="C288" i="8"/>
  <c r="I286" i="8"/>
  <c r="H286" i="8"/>
  <c r="F286" i="8"/>
  <c r="F285" i="8"/>
  <c r="F284" i="8"/>
  <c r="J283" i="8"/>
  <c r="I283" i="8"/>
  <c r="H283" i="8"/>
  <c r="G283" i="8"/>
  <c r="J282" i="8"/>
  <c r="I282" i="8"/>
  <c r="H282" i="8"/>
  <c r="G282" i="8"/>
  <c r="E280" i="8"/>
  <c r="D280" i="8"/>
  <c r="C280" i="8"/>
  <c r="I278" i="8"/>
  <c r="H278" i="8"/>
  <c r="F278" i="8"/>
  <c r="F277" i="8"/>
  <c r="F276" i="8"/>
  <c r="J275" i="8"/>
  <c r="I275" i="8"/>
  <c r="H275" i="8"/>
  <c r="G275" i="8"/>
  <c r="J274" i="8"/>
  <c r="I274" i="8"/>
  <c r="H274" i="8"/>
  <c r="G274" i="8"/>
  <c r="F273" i="8"/>
  <c r="E273" i="8"/>
  <c r="D273" i="8"/>
  <c r="C273" i="8"/>
  <c r="I271" i="8"/>
  <c r="H271" i="8"/>
  <c r="F271" i="8"/>
  <c r="F270" i="8"/>
  <c r="F269" i="8"/>
  <c r="J268" i="8"/>
  <c r="I268" i="8"/>
  <c r="H268" i="8"/>
  <c r="G268" i="8"/>
  <c r="F267" i="8"/>
  <c r="E267" i="8"/>
  <c r="D267" i="8"/>
  <c r="C267" i="8"/>
  <c r="I265" i="8"/>
  <c r="H265" i="8"/>
  <c r="F265" i="8"/>
  <c r="F264" i="8"/>
  <c r="F263" i="8"/>
  <c r="J262" i="8"/>
  <c r="I262" i="8"/>
  <c r="H262" i="8"/>
  <c r="G262" i="8"/>
  <c r="J261" i="8"/>
  <c r="I261" i="8"/>
  <c r="H261" i="8"/>
  <c r="G261" i="8"/>
  <c r="E259" i="8"/>
  <c r="D259" i="8"/>
  <c r="C259" i="8"/>
  <c r="I257" i="8"/>
  <c r="H257" i="8"/>
  <c r="F257" i="8"/>
  <c r="F256" i="8"/>
  <c r="F255" i="8"/>
  <c r="J254" i="8"/>
  <c r="I254" i="8"/>
  <c r="H254" i="8"/>
  <c r="G254" i="8"/>
  <c r="J253" i="8"/>
  <c r="I253" i="8"/>
  <c r="H253" i="8"/>
  <c r="G253" i="8"/>
  <c r="F252" i="8"/>
  <c r="E252" i="8"/>
  <c r="D252" i="8"/>
  <c r="C252" i="8"/>
  <c r="I250" i="8"/>
  <c r="H250" i="8"/>
  <c r="F250" i="8"/>
  <c r="F249" i="8"/>
  <c r="F248" i="8"/>
  <c r="J247" i="8"/>
  <c r="I247" i="8"/>
  <c r="H247" i="8"/>
  <c r="G247" i="8"/>
  <c r="F246" i="8"/>
  <c r="E246" i="8"/>
  <c r="D246" i="8"/>
  <c r="C246" i="8"/>
  <c r="I244" i="8"/>
  <c r="H244" i="8"/>
  <c r="F244" i="8"/>
  <c r="F243" i="8"/>
  <c r="F242" i="8"/>
  <c r="J241" i="8"/>
  <c r="I241" i="8"/>
  <c r="H241" i="8"/>
  <c r="G241" i="8"/>
  <c r="J240" i="8"/>
  <c r="I240" i="8"/>
  <c r="H240" i="8"/>
  <c r="G240" i="8"/>
  <c r="E238" i="8"/>
  <c r="D238" i="8"/>
  <c r="C238" i="8"/>
  <c r="I236" i="8"/>
  <c r="H236" i="8"/>
  <c r="F236" i="8"/>
  <c r="F235" i="8"/>
  <c r="F234" i="8"/>
  <c r="J233" i="8"/>
  <c r="I233" i="8"/>
  <c r="H233" i="8"/>
  <c r="G233" i="8"/>
  <c r="J232" i="8"/>
  <c r="I232" i="8"/>
  <c r="H232" i="8"/>
  <c r="G232" i="8"/>
  <c r="E230" i="8"/>
  <c r="D230" i="8"/>
  <c r="C230" i="8"/>
  <c r="I228" i="8"/>
  <c r="H228" i="8"/>
  <c r="F228" i="8"/>
  <c r="F227" i="8"/>
  <c r="F226" i="8"/>
  <c r="J225" i="8"/>
  <c r="I225" i="8"/>
  <c r="H225" i="8"/>
  <c r="G225" i="8"/>
  <c r="J224" i="8"/>
  <c r="I224" i="8"/>
  <c r="H224" i="8"/>
  <c r="G224" i="8"/>
  <c r="F223" i="8"/>
  <c r="E223" i="8"/>
  <c r="D223" i="8"/>
  <c r="C223" i="8"/>
  <c r="I221" i="8"/>
  <c r="H221" i="8"/>
  <c r="F221" i="8"/>
  <c r="F220" i="8"/>
  <c r="F219" i="8"/>
  <c r="J218" i="8"/>
  <c r="I218" i="8"/>
  <c r="H218" i="8"/>
  <c r="G218" i="8"/>
  <c r="J217" i="8"/>
  <c r="I217" i="8"/>
  <c r="H217" i="8"/>
  <c r="G217" i="8"/>
  <c r="F216" i="8"/>
  <c r="E216" i="8"/>
  <c r="D216" i="8"/>
  <c r="C216" i="8"/>
  <c r="I214" i="8"/>
  <c r="H214" i="8"/>
  <c r="F214" i="8"/>
  <c r="F213" i="8"/>
  <c r="F212" i="8"/>
  <c r="F211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J207" i="8"/>
  <c r="I207" i="8"/>
  <c r="H207" i="8"/>
  <c r="G207" i="8"/>
  <c r="F206" i="8"/>
  <c r="E206" i="8"/>
  <c r="D206" i="8"/>
  <c r="C206" i="8"/>
  <c r="I204" i="8"/>
  <c r="H204" i="8"/>
  <c r="F204" i="8"/>
  <c r="F203" i="8"/>
  <c r="F202" i="8"/>
  <c r="J201" i="8"/>
  <c r="I201" i="8"/>
  <c r="H201" i="8"/>
  <c r="G201" i="8"/>
  <c r="J200" i="8"/>
  <c r="I200" i="8"/>
  <c r="H200" i="8"/>
  <c r="G200" i="8"/>
  <c r="E198" i="8"/>
  <c r="D198" i="8"/>
  <c r="C198" i="8"/>
  <c r="I196" i="8"/>
  <c r="H196" i="8"/>
  <c r="F196" i="8"/>
  <c r="F195" i="8"/>
  <c r="F194" i="8"/>
  <c r="J193" i="8"/>
  <c r="I193" i="8"/>
  <c r="H193" i="8"/>
  <c r="G193" i="8"/>
  <c r="J192" i="8"/>
  <c r="I192" i="8"/>
  <c r="H192" i="8"/>
  <c r="G192" i="8"/>
  <c r="F191" i="8"/>
  <c r="E191" i="8"/>
  <c r="D191" i="8"/>
  <c r="C191" i="8"/>
  <c r="A190" i="8"/>
  <c r="A188" i="8"/>
  <c r="I179" i="8"/>
  <c r="H179" i="8"/>
  <c r="F179" i="8"/>
  <c r="F178" i="8"/>
  <c r="F177" i="8"/>
  <c r="F176" i="8"/>
  <c r="J175" i="8"/>
  <c r="I175" i="8"/>
  <c r="H175" i="8"/>
  <c r="G175" i="8"/>
  <c r="J174" i="8"/>
  <c r="I174" i="8"/>
  <c r="H174" i="8"/>
  <c r="G174" i="8"/>
  <c r="J173" i="8"/>
  <c r="I173" i="8"/>
  <c r="H173" i="8"/>
  <c r="G173" i="8"/>
  <c r="J172" i="8"/>
  <c r="I172" i="8"/>
  <c r="H172" i="8"/>
  <c r="G172" i="8"/>
  <c r="F171" i="8"/>
  <c r="E171" i="8"/>
  <c r="D171" i="8"/>
  <c r="C171" i="8"/>
  <c r="I169" i="8"/>
  <c r="H169" i="8"/>
  <c r="F169" i="8"/>
  <c r="F168" i="8"/>
  <c r="F167" i="8"/>
  <c r="F166" i="8"/>
  <c r="J165" i="8"/>
  <c r="I165" i="8"/>
  <c r="H165" i="8"/>
  <c r="G165" i="8"/>
  <c r="J164" i="8"/>
  <c r="I164" i="8"/>
  <c r="H164" i="8"/>
  <c r="G164" i="8"/>
  <c r="J163" i="8"/>
  <c r="I163" i="8"/>
  <c r="H163" i="8"/>
  <c r="G163" i="8"/>
  <c r="F162" i="8"/>
  <c r="E162" i="8"/>
  <c r="D162" i="8"/>
  <c r="C162" i="8"/>
  <c r="I160" i="8"/>
  <c r="H160" i="8"/>
  <c r="F160" i="8"/>
  <c r="F159" i="8"/>
  <c r="F158" i="8"/>
  <c r="J157" i="8"/>
  <c r="I157" i="8"/>
  <c r="H157" i="8"/>
  <c r="G157" i="8"/>
  <c r="J156" i="8"/>
  <c r="I156" i="8"/>
  <c r="H156" i="8"/>
  <c r="G156" i="8"/>
  <c r="F155" i="8"/>
  <c r="E155" i="8"/>
  <c r="D155" i="8"/>
  <c r="C155" i="8"/>
  <c r="I153" i="8"/>
  <c r="H153" i="8"/>
  <c r="F153" i="8"/>
  <c r="F152" i="8"/>
  <c r="F151" i="8"/>
  <c r="J150" i="8"/>
  <c r="I150" i="8"/>
  <c r="H150" i="8"/>
  <c r="G150" i="8"/>
  <c r="J149" i="8"/>
  <c r="I149" i="8"/>
  <c r="H149" i="8"/>
  <c r="G149" i="8"/>
  <c r="F148" i="8"/>
  <c r="E148" i="8"/>
  <c r="D148" i="8"/>
  <c r="C148" i="8"/>
  <c r="A147" i="8"/>
  <c r="A145" i="8"/>
  <c r="I136" i="8"/>
  <c r="H136" i="8"/>
  <c r="F136" i="8"/>
  <c r="F135" i="8"/>
  <c r="F134" i="8"/>
  <c r="J133" i="8"/>
  <c r="I133" i="8"/>
  <c r="H133" i="8"/>
  <c r="G133" i="8"/>
  <c r="J132" i="8"/>
  <c r="I132" i="8"/>
  <c r="H132" i="8"/>
  <c r="G132" i="8"/>
  <c r="J131" i="8"/>
  <c r="I131" i="8"/>
  <c r="H131" i="8"/>
  <c r="G131" i="8"/>
  <c r="E129" i="8"/>
  <c r="D129" i="8"/>
  <c r="C129" i="8"/>
  <c r="A128" i="8"/>
  <c r="A126" i="8"/>
  <c r="I117" i="8"/>
  <c r="H117" i="8"/>
  <c r="F117" i="8"/>
  <c r="F116" i="8"/>
  <c r="F115" i="8"/>
  <c r="J114" i="8"/>
  <c r="I114" i="8"/>
  <c r="H114" i="8"/>
  <c r="G114" i="8"/>
  <c r="J113" i="8"/>
  <c r="I113" i="8"/>
  <c r="H113" i="8"/>
  <c r="G113" i="8"/>
  <c r="E111" i="8"/>
  <c r="D111" i="8"/>
  <c r="C111" i="8"/>
  <c r="I109" i="8"/>
  <c r="H109" i="8"/>
  <c r="F109" i="8"/>
  <c r="F108" i="8"/>
  <c r="F107" i="8"/>
  <c r="J106" i="8"/>
  <c r="I106" i="8"/>
  <c r="H106" i="8"/>
  <c r="G106" i="8"/>
  <c r="E104" i="8"/>
  <c r="D104" i="8"/>
  <c r="C104" i="8"/>
  <c r="I102" i="8"/>
  <c r="H102" i="8"/>
  <c r="F102" i="8"/>
  <c r="F101" i="8"/>
  <c r="F100" i="8"/>
  <c r="F99" i="8"/>
  <c r="J98" i="8"/>
  <c r="I98" i="8"/>
  <c r="H98" i="8"/>
  <c r="G98" i="8"/>
  <c r="J97" i="8"/>
  <c r="I97" i="8"/>
  <c r="H97" i="8"/>
  <c r="G97" i="8"/>
  <c r="J96" i="8"/>
  <c r="I96" i="8"/>
  <c r="H96" i="8"/>
  <c r="G96" i="8"/>
  <c r="E94" i="8"/>
  <c r="D94" i="8"/>
  <c r="C94" i="8"/>
  <c r="I92" i="8"/>
  <c r="H92" i="8"/>
  <c r="F92" i="8"/>
  <c r="F91" i="8"/>
  <c r="F90" i="8"/>
  <c r="F89" i="8"/>
  <c r="J88" i="8"/>
  <c r="I88" i="8"/>
  <c r="H88" i="8"/>
  <c r="G88" i="8"/>
  <c r="J87" i="8"/>
  <c r="I87" i="8"/>
  <c r="H87" i="8"/>
  <c r="G87" i="8"/>
  <c r="J86" i="8"/>
  <c r="I86" i="8"/>
  <c r="H86" i="8"/>
  <c r="G86" i="8"/>
  <c r="J85" i="8"/>
  <c r="I85" i="8"/>
  <c r="H85" i="8"/>
  <c r="G85" i="8"/>
  <c r="E83" i="8"/>
  <c r="D83" i="8"/>
  <c r="C83" i="8"/>
  <c r="I81" i="8"/>
  <c r="H81" i="8"/>
  <c r="F81" i="8"/>
  <c r="F80" i="8"/>
  <c r="F79" i="8"/>
  <c r="F78" i="8"/>
  <c r="J77" i="8"/>
  <c r="I77" i="8"/>
  <c r="H77" i="8"/>
  <c r="G77" i="8"/>
  <c r="J76" i="8"/>
  <c r="I76" i="8"/>
  <c r="H76" i="8"/>
  <c r="G76" i="8"/>
  <c r="J75" i="8"/>
  <c r="I75" i="8"/>
  <c r="H75" i="8"/>
  <c r="G75" i="8"/>
  <c r="J74" i="8"/>
  <c r="I74" i="8"/>
  <c r="H74" i="8"/>
  <c r="G74" i="8"/>
  <c r="E72" i="8"/>
  <c r="D72" i="8"/>
  <c r="C72" i="8"/>
  <c r="A71" i="8"/>
  <c r="I65" i="8"/>
  <c r="H65" i="8"/>
  <c r="F65" i="8"/>
  <c r="F64" i="8"/>
  <c r="F63" i="8"/>
  <c r="F62" i="8"/>
  <c r="J61" i="8"/>
  <c r="I61" i="8"/>
  <c r="H61" i="8"/>
  <c r="G61" i="8"/>
  <c r="J60" i="8"/>
  <c r="I60" i="8"/>
  <c r="H60" i="8"/>
  <c r="G60" i="8"/>
  <c r="J59" i="8"/>
  <c r="I59" i="8"/>
  <c r="H59" i="8"/>
  <c r="G59" i="8"/>
  <c r="J58" i="8"/>
  <c r="I58" i="8"/>
  <c r="H58" i="8"/>
  <c r="G58" i="8"/>
  <c r="F57" i="8"/>
  <c r="E57" i="8"/>
  <c r="D57" i="8"/>
  <c r="C57" i="8"/>
  <c r="I55" i="8"/>
  <c r="H55" i="8"/>
  <c r="F55" i="8"/>
  <c r="F54" i="8"/>
  <c r="F53" i="8"/>
  <c r="J52" i="8"/>
  <c r="I52" i="8"/>
  <c r="H52" i="8"/>
  <c r="G52" i="8"/>
  <c r="E50" i="8"/>
  <c r="D50" i="8"/>
  <c r="C50" i="8"/>
  <c r="I48" i="8"/>
  <c r="H48" i="8"/>
  <c r="F48" i="8"/>
  <c r="F47" i="8"/>
  <c r="F46" i="8"/>
  <c r="J45" i="8"/>
  <c r="I45" i="8"/>
  <c r="H45" i="8"/>
  <c r="G45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547" i="7"/>
  <c r="H544" i="7"/>
  <c r="C547" i="7"/>
  <c r="C544" i="7"/>
  <c r="C541" i="7"/>
  <c r="C540" i="7"/>
  <c r="C539" i="7"/>
  <c r="H526" i="7"/>
  <c r="G526" i="7"/>
  <c r="E526" i="7"/>
  <c r="E525" i="7"/>
  <c r="E524" i="7"/>
  <c r="I523" i="7"/>
  <c r="H523" i="7"/>
  <c r="G523" i="7"/>
  <c r="F523" i="7"/>
  <c r="D521" i="7"/>
  <c r="C521" i="7"/>
  <c r="B521" i="7"/>
  <c r="H519" i="7"/>
  <c r="G519" i="7"/>
  <c r="E519" i="7"/>
  <c r="E518" i="7"/>
  <c r="E517" i="7"/>
  <c r="I516" i="7"/>
  <c r="H516" i="7"/>
  <c r="G516" i="7"/>
  <c r="F516" i="7"/>
  <c r="I515" i="7"/>
  <c r="H515" i="7"/>
  <c r="G515" i="7"/>
  <c r="F515" i="7"/>
  <c r="D513" i="7"/>
  <c r="C513" i="7"/>
  <c r="B513" i="7"/>
  <c r="H511" i="7"/>
  <c r="G511" i="7"/>
  <c r="E511" i="7"/>
  <c r="E510" i="7"/>
  <c r="E509" i="7"/>
  <c r="I508" i="7"/>
  <c r="H508" i="7"/>
  <c r="G508" i="7"/>
  <c r="F508" i="7"/>
  <c r="I507" i="7"/>
  <c r="H507" i="7"/>
  <c r="G507" i="7"/>
  <c r="F507" i="7"/>
  <c r="D505" i="7"/>
  <c r="C505" i="7"/>
  <c r="B505" i="7"/>
  <c r="H503" i="7"/>
  <c r="G503" i="7"/>
  <c r="E503" i="7"/>
  <c r="E502" i="7"/>
  <c r="E501" i="7"/>
  <c r="I500" i="7"/>
  <c r="H500" i="7"/>
  <c r="G500" i="7"/>
  <c r="F500" i="7"/>
  <c r="D498" i="7"/>
  <c r="C498" i="7"/>
  <c r="B498" i="7"/>
  <c r="H496" i="7"/>
  <c r="G496" i="7"/>
  <c r="E496" i="7"/>
  <c r="E495" i="7"/>
  <c r="E494" i="7"/>
  <c r="I493" i="7"/>
  <c r="H493" i="7"/>
  <c r="G493" i="7"/>
  <c r="F493" i="7"/>
  <c r="I492" i="7"/>
  <c r="H492" i="7"/>
  <c r="G492" i="7"/>
  <c r="F492" i="7"/>
  <c r="D490" i="7"/>
  <c r="C490" i="7"/>
  <c r="B490" i="7"/>
  <c r="H488" i="7"/>
  <c r="G488" i="7"/>
  <c r="E488" i="7"/>
  <c r="E487" i="7"/>
  <c r="E486" i="7"/>
  <c r="I485" i="7"/>
  <c r="H485" i="7"/>
  <c r="G485" i="7"/>
  <c r="F485" i="7"/>
  <c r="I484" i="7"/>
  <c r="H484" i="7"/>
  <c r="G484" i="7"/>
  <c r="F484" i="7"/>
  <c r="D482" i="7"/>
  <c r="C482" i="7"/>
  <c r="B482" i="7"/>
  <c r="H480" i="7"/>
  <c r="G480" i="7"/>
  <c r="E480" i="7"/>
  <c r="E479" i="7"/>
  <c r="E478" i="7"/>
  <c r="I477" i="7"/>
  <c r="H477" i="7"/>
  <c r="G477" i="7"/>
  <c r="F477" i="7"/>
  <c r="I476" i="7"/>
  <c r="H476" i="7"/>
  <c r="G476" i="7"/>
  <c r="F476" i="7"/>
  <c r="D474" i="7"/>
  <c r="C474" i="7"/>
  <c r="B474" i="7"/>
  <c r="H472" i="7"/>
  <c r="G472" i="7"/>
  <c r="E472" i="7"/>
  <c r="E471" i="7"/>
  <c r="E470" i="7"/>
  <c r="I469" i="7"/>
  <c r="H469" i="7"/>
  <c r="G469" i="7"/>
  <c r="F469" i="7"/>
  <c r="I468" i="7"/>
  <c r="H468" i="7"/>
  <c r="G468" i="7"/>
  <c r="F468" i="7"/>
  <c r="D466" i="7"/>
  <c r="C466" i="7"/>
  <c r="B466" i="7"/>
  <c r="H464" i="7"/>
  <c r="G464" i="7"/>
  <c r="E464" i="7"/>
  <c r="E463" i="7"/>
  <c r="E462" i="7"/>
  <c r="I461" i="7"/>
  <c r="H461" i="7"/>
  <c r="G461" i="7"/>
  <c r="F461" i="7"/>
  <c r="I460" i="7"/>
  <c r="H460" i="7"/>
  <c r="G460" i="7"/>
  <c r="F460" i="7"/>
  <c r="D458" i="7"/>
  <c r="C458" i="7"/>
  <c r="B458" i="7"/>
  <c r="H456" i="7"/>
  <c r="G456" i="7"/>
  <c r="E456" i="7"/>
  <c r="E455" i="7"/>
  <c r="E454" i="7"/>
  <c r="I453" i="7"/>
  <c r="H453" i="7"/>
  <c r="G453" i="7"/>
  <c r="F453" i="7"/>
  <c r="I452" i="7"/>
  <c r="H452" i="7"/>
  <c r="G452" i="7"/>
  <c r="F452" i="7"/>
  <c r="D450" i="7"/>
  <c r="C450" i="7"/>
  <c r="B450" i="7"/>
  <c r="H448" i="7"/>
  <c r="G448" i="7"/>
  <c r="E448" i="7"/>
  <c r="E447" i="7"/>
  <c r="E446" i="7"/>
  <c r="I445" i="7"/>
  <c r="H445" i="7"/>
  <c r="G445" i="7"/>
  <c r="F445" i="7"/>
  <c r="I444" i="7"/>
  <c r="H444" i="7"/>
  <c r="G444" i="7"/>
  <c r="F444" i="7"/>
  <c r="D442" i="7"/>
  <c r="C442" i="7"/>
  <c r="B442" i="7"/>
  <c r="H440" i="7"/>
  <c r="G440" i="7"/>
  <c r="E440" i="7"/>
  <c r="E439" i="7"/>
  <c r="E438" i="7"/>
  <c r="I437" i="7"/>
  <c r="H437" i="7"/>
  <c r="G437" i="7"/>
  <c r="F437" i="7"/>
  <c r="I436" i="7"/>
  <c r="H436" i="7"/>
  <c r="G436" i="7"/>
  <c r="F436" i="7"/>
  <c r="D434" i="7"/>
  <c r="C434" i="7"/>
  <c r="B434" i="7"/>
  <c r="A433" i="7"/>
  <c r="H427" i="7"/>
  <c r="G427" i="7"/>
  <c r="E427" i="7"/>
  <c r="E426" i="7"/>
  <c r="E425" i="7"/>
  <c r="I424" i="7"/>
  <c r="H424" i="7"/>
  <c r="G424" i="7"/>
  <c r="F424" i="7"/>
  <c r="I423" i="7"/>
  <c r="H423" i="7"/>
  <c r="G423" i="7"/>
  <c r="F423" i="7"/>
  <c r="E422" i="7"/>
  <c r="D422" i="7"/>
  <c r="C422" i="7"/>
  <c r="B422" i="7"/>
  <c r="H420" i="7"/>
  <c r="G420" i="7"/>
  <c r="E420" i="7"/>
  <c r="E419" i="7"/>
  <c r="E418" i="7"/>
  <c r="I417" i="7"/>
  <c r="H417" i="7"/>
  <c r="G417" i="7"/>
  <c r="F417" i="7"/>
  <c r="I416" i="7"/>
  <c r="H416" i="7"/>
  <c r="G416" i="7"/>
  <c r="F416" i="7"/>
  <c r="E415" i="7"/>
  <c r="D415" i="7"/>
  <c r="C415" i="7"/>
  <c r="B415" i="7"/>
  <c r="H413" i="7"/>
  <c r="G413" i="7"/>
  <c r="E413" i="7"/>
  <c r="E412" i="7"/>
  <c r="E411" i="7"/>
  <c r="I410" i="7"/>
  <c r="H410" i="7"/>
  <c r="G410" i="7"/>
  <c r="F410" i="7"/>
  <c r="I409" i="7"/>
  <c r="H409" i="7"/>
  <c r="G409" i="7"/>
  <c r="F409" i="7"/>
  <c r="E408" i="7"/>
  <c r="D408" i="7"/>
  <c r="C408" i="7"/>
  <c r="B408" i="7"/>
  <c r="H406" i="7"/>
  <c r="G406" i="7"/>
  <c r="E406" i="7"/>
  <c r="E405" i="7"/>
  <c r="E404" i="7"/>
  <c r="I403" i="7"/>
  <c r="H403" i="7"/>
  <c r="G403" i="7"/>
  <c r="F403" i="7"/>
  <c r="I402" i="7"/>
  <c r="H402" i="7"/>
  <c r="G402" i="7"/>
  <c r="F402" i="7"/>
  <c r="D400" i="7"/>
  <c r="C400" i="7"/>
  <c r="B400" i="7"/>
  <c r="H398" i="7"/>
  <c r="G398" i="7"/>
  <c r="E398" i="7"/>
  <c r="E397" i="7"/>
  <c r="E396" i="7"/>
  <c r="E395" i="7"/>
  <c r="I394" i="7"/>
  <c r="H394" i="7"/>
  <c r="G394" i="7"/>
  <c r="F394" i="7"/>
  <c r="I393" i="7"/>
  <c r="H393" i="7"/>
  <c r="G393" i="7"/>
  <c r="F393" i="7"/>
  <c r="I392" i="7"/>
  <c r="H392" i="7"/>
  <c r="G392" i="7"/>
  <c r="F392" i="7"/>
  <c r="I391" i="7"/>
  <c r="H391" i="7"/>
  <c r="G391" i="7"/>
  <c r="F391" i="7"/>
  <c r="D389" i="7"/>
  <c r="C389" i="7"/>
  <c r="B389" i="7"/>
  <c r="A388" i="7"/>
  <c r="H382" i="7"/>
  <c r="G382" i="7"/>
  <c r="E382" i="7"/>
  <c r="E381" i="7"/>
  <c r="E380" i="7"/>
  <c r="E379" i="7"/>
  <c r="I378" i="7"/>
  <c r="H378" i="7"/>
  <c r="G378" i="7"/>
  <c r="F378" i="7"/>
  <c r="I377" i="7"/>
  <c r="H377" i="7"/>
  <c r="G377" i="7"/>
  <c r="F377" i="7"/>
  <c r="I376" i="7"/>
  <c r="H376" i="7"/>
  <c r="G376" i="7"/>
  <c r="F376" i="7"/>
  <c r="I375" i="7"/>
  <c r="H375" i="7"/>
  <c r="G375" i="7"/>
  <c r="F375" i="7"/>
  <c r="E374" i="7"/>
  <c r="D374" i="7"/>
  <c r="C374" i="7"/>
  <c r="B374" i="7"/>
  <c r="H372" i="7"/>
  <c r="G372" i="7"/>
  <c r="E372" i="7"/>
  <c r="E371" i="7"/>
  <c r="E370" i="7"/>
  <c r="I369" i="7"/>
  <c r="H369" i="7"/>
  <c r="G369" i="7"/>
  <c r="F369" i="7"/>
  <c r="I368" i="7"/>
  <c r="H368" i="7"/>
  <c r="G368" i="7"/>
  <c r="F368" i="7"/>
  <c r="D366" i="7"/>
  <c r="H364" i="7"/>
  <c r="G364" i="7"/>
  <c r="E364" i="7"/>
  <c r="E363" i="7"/>
  <c r="E362" i="7"/>
  <c r="I361" i="7"/>
  <c r="H361" i="7"/>
  <c r="G361" i="7"/>
  <c r="F361" i="7"/>
  <c r="I360" i="7"/>
  <c r="H360" i="7"/>
  <c r="G360" i="7"/>
  <c r="F360" i="7"/>
  <c r="E359" i="7"/>
  <c r="D359" i="7"/>
  <c r="H357" i="7"/>
  <c r="G357" i="7"/>
  <c r="E357" i="7"/>
  <c r="E356" i="7"/>
  <c r="E355" i="7"/>
  <c r="I354" i="7"/>
  <c r="H354" i="7"/>
  <c r="G354" i="7"/>
  <c r="F354" i="7"/>
  <c r="I353" i="7"/>
  <c r="H353" i="7"/>
  <c r="G353" i="7"/>
  <c r="F353" i="7"/>
  <c r="D351" i="7"/>
  <c r="C351" i="7"/>
  <c r="B351" i="7"/>
  <c r="H349" i="7"/>
  <c r="G349" i="7"/>
  <c r="E349" i="7"/>
  <c r="E348" i="7"/>
  <c r="E347" i="7"/>
  <c r="I346" i="7"/>
  <c r="H346" i="7"/>
  <c r="G346" i="7"/>
  <c r="F346" i="7"/>
  <c r="I345" i="7"/>
  <c r="H345" i="7"/>
  <c r="G345" i="7"/>
  <c r="F345" i="7"/>
  <c r="D343" i="7"/>
  <c r="H341" i="7"/>
  <c r="G341" i="7"/>
  <c r="E341" i="7"/>
  <c r="E340" i="7"/>
  <c r="E339" i="7"/>
  <c r="I338" i="7"/>
  <c r="H338" i="7"/>
  <c r="G338" i="7"/>
  <c r="F338" i="7"/>
  <c r="I337" i="7"/>
  <c r="H337" i="7"/>
  <c r="G337" i="7"/>
  <c r="F337" i="7"/>
  <c r="E336" i="7"/>
  <c r="D336" i="7"/>
  <c r="A335" i="7"/>
  <c r="H329" i="7"/>
  <c r="G329" i="7"/>
  <c r="E329" i="7"/>
  <c r="E328" i="7"/>
  <c r="E327" i="7"/>
  <c r="I326" i="7"/>
  <c r="H326" i="7"/>
  <c r="G326" i="7"/>
  <c r="F326" i="7"/>
  <c r="D324" i="7"/>
  <c r="C324" i="7"/>
  <c r="B324" i="7"/>
  <c r="H322" i="7"/>
  <c r="G322" i="7"/>
  <c r="E322" i="7"/>
  <c r="E321" i="7"/>
  <c r="E320" i="7"/>
  <c r="I319" i="7"/>
  <c r="H319" i="7"/>
  <c r="G319" i="7"/>
  <c r="F319" i="7"/>
  <c r="I318" i="7"/>
  <c r="H318" i="7"/>
  <c r="G318" i="7"/>
  <c r="F318" i="7"/>
  <c r="D316" i="7"/>
  <c r="C316" i="7"/>
  <c r="B316" i="7"/>
  <c r="H314" i="7"/>
  <c r="G314" i="7"/>
  <c r="E314" i="7"/>
  <c r="E313" i="7"/>
  <c r="E312" i="7"/>
  <c r="I311" i="7"/>
  <c r="H311" i="7"/>
  <c r="G311" i="7"/>
  <c r="F311" i="7"/>
  <c r="I310" i="7"/>
  <c r="H310" i="7"/>
  <c r="G310" i="7"/>
  <c r="F310" i="7"/>
  <c r="E309" i="7"/>
  <c r="D309" i="7"/>
  <c r="C309" i="7"/>
  <c r="B309" i="7"/>
  <c r="H307" i="7"/>
  <c r="G307" i="7"/>
  <c r="E307" i="7"/>
  <c r="E306" i="7"/>
  <c r="E305" i="7"/>
  <c r="I304" i="7"/>
  <c r="H304" i="7"/>
  <c r="G304" i="7"/>
  <c r="F304" i="7"/>
  <c r="E303" i="7"/>
  <c r="D303" i="7"/>
  <c r="C303" i="7"/>
  <c r="B303" i="7"/>
  <c r="H301" i="7"/>
  <c r="G301" i="7"/>
  <c r="E301" i="7"/>
  <c r="E300" i="7"/>
  <c r="E299" i="7"/>
  <c r="I298" i="7"/>
  <c r="H298" i="7"/>
  <c r="G298" i="7"/>
  <c r="F298" i="7"/>
  <c r="I297" i="7"/>
  <c r="H297" i="7"/>
  <c r="G297" i="7"/>
  <c r="F297" i="7"/>
  <c r="D295" i="7"/>
  <c r="C295" i="7"/>
  <c r="B295" i="7"/>
  <c r="H293" i="7"/>
  <c r="G293" i="7"/>
  <c r="E293" i="7"/>
  <c r="E292" i="7"/>
  <c r="E291" i="7"/>
  <c r="I290" i="7"/>
  <c r="H290" i="7"/>
  <c r="G290" i="7"/>
  <c r="F290" i="7"/>
  <c r="I289" i="7"/>
  <c r="H289" i="7"/>
  <c r="G289" i="7"/>
  <c r="F289" i="7"/>
  <c r="E288" i="7"/>
  <c r="D288" i="7"/>
  <c r="C288" i="7"/>
  <c r="B288" i="7"/>
  <c r="H286" i="7"/>
  <c r="G286" i="7"/>
  <c r="E286" i="7"/>
  <c r="E285" i="7"/>
  <c r="E284" i="7"/>
  <c r="I283" i="7"/>
  <c r="H283" i="7"/>
  <c r="G283" i="7"/>
  <c r="F283" i="7"/>
  <c r="E282" i="7"/>
  <c r="D282" i="7"/>
  <c r="C282" i="7"/>
  <c r="B282" i="7"/>
  <c r="H280" i="7"/>
  <c r="G280" i="7"/>
  <c r="E280" i="7"/>
  <c r="E279" i="7"/>
  <c r="E278" i="7"/>
  <c r="I277" i="7"/>
  <c r="H277" i="7"/>
  <c r="G277" i="7"/>
  <c r="F277" i="7"/>
  <c r="I276" i="7"/>
  <c r="H276" i="7"/>
  <c r="G276" i="7"/>
  <c r="F276" i="7"/>
  <c r="D274" i="7"/>
  <c r="C274" i="7"/>
  <c r="B274" i="7"/>
  <c r="H272" i="7"/>
  <c r="G272" i="7"/>
  <c r="E272" i="7"/>
  <c r="E271" i="7"/>
  <c r="E270" i="7"/>
  <c r="I269" i="7"/>
  <c r="H269" i="7"/>
  <c r="G269" i="7"/>
  <c r="F269" i="7"/>
  <c r="I268" i="7"/>
  <c r="H268" i="7"/>
  <c r="G268" i="7"/>
  <c r="F268" i="7"/>
  <c r="E267" i="7"/>
  <c r="D267" i="7"/>
  <c r="C267" i="7"/>
  <c r="B267" i="7"/>
  <c r="H265" i="7"/>
  <c r="G265" i="7"/>
  <c r="E265" i="7"/>
  <c r="E264" i="7"/>
  <c r="E263" i="7"/>
  <c r="I262" i="7"/>
  <c r="H262" i="7"/>
  <c r="G262" i="7"/>
  <c r="F262" i="7"/>
  <c r="E261" i="7"/>
  <c r="D261" i="7"/>
  <c r="C261" i="7"/>
  <c r="B261" i="7"/>
  <c r="H259" i="7"/>
  <c r="G259" i="7"/>
  <c r="E259" i="7"/>
  <c r="E258" i="7"/>
  <c r="E257" i="7"/>
  <c r="I256" i="7"/>
  <c r="H256" i="7"/>
  <c r="G256" i="7"/>
  <c r="F256" i="7"/>
  <c r="I255" i="7"/>
  <c r="H255" i="7"/>
  <c r="G255" i="7"/>
  <c r="F255" i="7"/>
  <c r="D253" i="7"/>
  <c r="C253" i="7"/>
  <c r="B253" i="7"/>
  <c r="H251" i="7"/>
  <c r="G251" i="7"/>
  <c r="E251" i="7"/>
  <c r="E250" i="7"/>
  <c r="E249" i="7"/>
  <c r="I248" i="7"/>
  <c r="H248" i="7"/>
  <c r="G248" i="7"/>
  <c r="F248" i="7"/>
  <c r="I247" i="7"/>
  <c r="H247" i="7"/>
  <c r="G247" i="7"/>
  <c r="F247" i="7"/>
  <c r="E246" i="7"/>
  <c r="D246" i="7"/>
  <c r="C246" i="7"/>
  <c r="B246" i="7"/>
  <c r="H244" i="7"/>
  <c r="G244" i="7"/>
  <c r="E244" i="7"/>
  <c r="E243" i="7"/>
  <c r="E242" i="7"/>
  <c r="I241" i="7"/>
  <c r="H241" i="7"/>
  <c r="G241" i="7"/>
  <c r="F241" i="7"/>
  <c r="E240" i="7"/>
  <c r="D240" i="7"/>
  <c r="C240" i="7"/>
  <c r="B240" i="7"/>
  <c r="H238" i="7"/>
  <c r="G238" i="7"/>
  <c r="E238" i="7"/>
  <c r="E237" i="7"/>
  <c r="E236" i="7"/>
  <c r="I235" i="7"/>
  <c r="H235" i="7"/>
  <c r="G235" i="7"/>
  <c r="F235" i="7"/>
  <c r="I234" i="7"/>
  <c r="H234" i="7"/>
  <c r="G234" i="7"/>
  <c r="F234" i="7"/>
  <c r="D232" i="7"/>
  <c r="C232" i="7"/>
  <c r="B232" i="7"/>
  <c r="H230" i="7"/>
  <c r="G230" i="7"/>
  <c r="E230" i="7"/>
  <c r="E229" i="7"/>
  <c r="E228" i="7"/>
  <c r="I227" i="7"/>
  <c r="H227" i="7"/>
  <c r="G227" i="7"/>
  <c r="F227" i="7"/>
  <c r="I226" i="7"/>
  <c r="H226" i="7"/>
  <c r="G226" i="7"/>
  <c r="F226" i="7"/>
  <c r="D224" i="7"/>
  <c r="C224" i="7"/>
  <c r="B224" i="7"/>
  <c r="H222" i="7"/>
  <c r="G222" i="7"/>
  <c r="E222" i="7"/>
  <c r="E221" i="7"/>
  <c r="E220" i="7"/>
  <c r="I219" i="7"/>
  <c r="H219" i="7"/>
  <c r="G219" i="7"/>
  <c r="F219" i="7"/>
  <c r="I218" i="7"/>
  <c r="H218" i="7"/>
  <c r="G218" i="7"/>
  <c r="F218" i="7"/>
  <c r="E217" i="7"/>
  <c r="D217" i="7"/>
  <c r="C217" i="7"/>
  <c r="B217" i="7"/>
  <c r="H215" i="7"/>
  <c r="G215" i="7"/>
  <c r="E215" i="7"/>
  <c r="E214" i="7"/>
  <c r="E213" i="7"/>
  <c r="I212" i="7"/>
  <c r="H212" i="7"/>
  <c r="G212" i="7"/>
  <c r="F212" i="7"/>
  <c r="I211" i="7"/>
  <c r="H211" i="7"/>
  <c r="G211" i="7"/>
  <c r="F211" i="7"/>
  <c r="E210" i="7"/>
  <c r="D210" i="7"/>
  <c r="C210" i="7"/>
  <c r="B210" i="7"/>
  <c r="H208" i="7"/>
  <c r="G208" i="7"/>
  <c r="E208" i="7"/>
  <c r="E207" i="7"/>
  <c r="E206" i="7"/>
  <c r="E205" i="7"/>
  <c r="I204" i="7"/>
  <c r="H204" i="7"/>
  <c r="G204" i="7"/>
  <c r="F204" i="7"/>
  <c r="I203" i="7"/>
  <c r="H203" i="7"/>
  <c r="G203" i="7"/>
  <c r="F203" i="7"/>
  <c r="I202" i="7"/>
  <c r="H202" i="7"/>
  <c r="G202" i="7"/>
  <c r="F202" i="7"/>
  <c r="I201" i="7"/>
  <c r="H201" i="7"/>
  <c r="G201" i="7"/>
  <c r="F201" i="7"/>
  <c r="E200" i="7"/>
  <c r="D200" i="7"/>
  <c r="C200" i="7"/>
  <c r="B200" i="7"/>
  <c r="H198" i="7"/>
  <c r="G198" i="7"/>
  <c r="E198" i="7"/>
  <c r="E197" i="7"/>
  <c r="E196" i="7"/>
  <c r="I195" i="7"/>
  <c r="H195" i="7"/>
  <c r="G195" i="7"/>
  <c r="F195" i="7"/>
  <c r="I194" i="7"/>
  <c r="H194" i="7"/>
  <c r="G194" i="7"/>
  <c r="F194" i="7"/>
  <c r="D192" i="7"/>
  <c r="C192" i="7"/>
  <c r="B192" i="7"/>
  <c r="H190" i="7"/>
  <c r="G190" i="7"/>
  <c r="E190" i="7"/>
  <c r="E189" i="7"/>
  <c r="E188" i="7"/>
  <c r="I187" i="7"/>
  <c r="H187" i="7"/>
  <c r="G187" i="7"/>
  <c r="F187" i="7"/>
  <c r="I186" i="7"/>
  <c r="H186" i="7"/>
  <c r="G186" i="7"/>
  <c r="F186" i="7"/>
  <c r="E185" i="7"/>
  <c r="D185" i="7"/>
  <c r="C185" i="7"/>
  <c r="B185" i="7"/>
  <c r="A184" i="7"/>
  <c r="A182" i="7"/>
  <c r="H173" i="7"/>
  <c r="G173" i="7"/>
  <c r="E173" i="7"/>
  <c r="E172" i="7"/>
  <c r="E171" i="7"/>
  <c r="E170" i="7"/>
  <c r="I169" i="7"/>
  <c r="H169" i="7"/>
  <c r="G169" i="7"/>
  <c r="F169" i="7"/>
  <c r="I168" i="7"/>
  <c r="H168" i="7"/>
  <c r="G168" i="7"/>
  <c r="F168" i="7"/>
  <c r="I167" i="7"/>
  <c r="H167" i="7"/>
  <c r="G167" i="7"/>
  <c r="F167" i="7"/>
  <c r="I166" i="7"/>
  <c r="H166" i="7"/>
  <c r="G166" i="7"/>
  <c r="F166" i="7"/>
  <c r="E165" i="7"/>
  <c r="D165" i="7"/>
  <c r="C165" i="7"/>
  <c r="B165" i="7"/>
  <c r="H163" i="7"/>
  <c r="G163" i="7"/>
  <c r="E163" i="7"/>
  <c r="E162" i="7"/>
  <c r="E161" i="7"/>
  <c r="E160" i="7"/>
  <c r="I159" i="7"/>
  <c r="H159" i="7"/>
  <c r="G159" i="7"/>
  <c r="F159" i="7"/>
  <c r="I158" i="7"/>
  <c r="H158" i="7"/>
  <c r="G158" i="7"/>
  <c r="F158" i="7"/>
  <c r="I157" i="7"/>
  <c r="H157" i="7"/>
  <c r="G157" i="7"/>
  <c r="F157" i="7"/>
  <c r="E156" i="7"/>
  <c r="D156" i="7"/>
  <c r="C156" i="7"/>
  <c r="B156" i="7"/>
  <c r="H154" i="7"/>
  <c r="G154" i="7"/>
  <c r="E154" i="7"/>
  <c r="E153" i="7"/>
  <c r="E152" i="7"/>
  <c r="I151" i="7"/>
  <c r="H151" i="7"/>
  <c r="G151" i="7"/>
  <c r="F151" i="7"/>
  <c r="I150" i="7"/>
  <c r="H150" i="7"/>
  <c r="G150" i="7"/>
  <c r="F150" i="7"/>
  <c r="E149" i="7"/>
  <c r="D149" i="7"/>
  <c r="C149" i="7"/>
  <c r="B149" i="7"/>
  <c r="H147" i="7"/>
  <c r="G147" i="7"/>
  <c r="E147" i="7"/>
  <c r="E146" i="7"/>
  <c r="E145" i="7"/>
  <c r="I144" i="7"/>
  <c r="H144" i="7"/>
  <c r="G144" i="7"/>
  <c r="F144" i="7"/>
  <c r="I143" i="7"/>
  <c r="H143" i="7"/>
  <c r="G143" i="7"/>
  <c r="F143" i="7"/>
  <c r="E142" i="7"/>
  <c r="D142" i="7"/>
  <c r="C142" i="7"/>
  <c r="B142" i="7"/>
  <c r="A141" i="7"/>
  <c r="A139" i="7"/>
  <c r="H130" i="7"/>
  <c r="G130" i="7"/>
  <c r="E130" i="7"/>
  <c r="E129" i="7"/>
  <c r="E128" i="7"/>
  <c r="I127" i="7"/>
  <c r="H127" i="7"/>
  <c r="G127" i="7"/>
  <c r="F127" i="7"/>
  <c r="I126" i="7"/>
  <c r="H126" i="7"/>
  <c r="G126" i="7"/>
  <c r="F126" i="7"/>
  <c r="I125" i="7"/>
  <c r="H125" i="7"/>
  <c r="G125" i="7"/>
  <c r="F125" i="7"/>
  <c r="D123" i="7"/>
  <c r="C123" i="7"/>
  <c r="B123" i="7"/>
  <c r="A122" i="7"/>
  <c r="A120" i="7"/>
  <c r="H111" i="7"/>
  <c r="G111" i="7"/>
  <c r="E111" i="7"/>
  <c r="E110" i="7"/>
  <c r="E109" i="7"/>
  <c r="I108" i="7"/>
  <c r="H108" i="7"/>
  <c r="G108" i="7"/>
  <c r="F108" i="7"/>
  <c r="I107" i="7"/>
  <c r="H107" i="7"/>
  <c r="G107" i="7"/>
  <c r="F107" i="7"/>
  <c r="D105" i="7"/>
  <c r="C105" i="7"/>
  <c r="B105" i="7"/>
  <c r="H103" i="7"/>
  <c r="G103" i="7"/>
  <c r="E103" i="7"/>
  <c r="E102" i="7"/>
  <c r="E101" i="7"/>
  <c r="I100" i="7"/>
  <c r="H100" i="7"/>
  <c r="G100" i="7"/>
  <c r="F100" i="7"/>
  <c r="D98" i="7"/>
  <c r="C98" i="7"/>
  <c r="B98" i="7"/>
  <c r="H96" i="7"/>
  <c r="G96" i="7"/>
  <c r="E96" i="7"/>
  <c r="E95" i="7"/>
  <c r="E94" i="7"/>
  <c r="E93" i="7"/>
  <c r="I92" i="7"/>
  <c r="H92" i="7"/>
  <c r="G92" i="7"/>
  <c r="F92" i="7"/>
  <c r="I91" i="7"/>
  <c r="H91" i="7"/>
  <c r="G91" i="7"/>
  <c r="F91" i="7"/>
  <c r="I90" i="7"/>
  <c r="H90" i="7"/>
  <c r="G90" i="7"/>
  <c r="F90" i="7"/>
  <c r="D88" i="7"/>
  <c r="C88" i="7"/>
  <c r="B88" i="7"/>
  <c r="H86" i="7"/>
  <c r="G86" i="7"/>
  <c r="E86" i="7"/>
  <c r="E85" i="7"/>
  <c r="E84" i="7"/>
  <c r="E83" i="7"/>
  <c r="I82" i="7"/>
  <c r="H82" i="7"/>
  <c r="G82" i="7"/>
  <c r="F82" i="7"/>
  <c r="I81" i="7"/>
  <c r="H81" i="7"/>
  <c r="G81" i="7"/>
  <c r="F81" i="7"/>
  <c r="I80" i="7"/>
  <c r="H80" i="7"/>
  <c r="G80" i="7"/>
  <c r="F80" i="7"/>
  <c r="I79" i="7"/>
  <c r="H79" i="7"/>
  <c r="G79" i="7"/>
  <c r="F79" i="7"/>
  <c r="D77" i="7"/>
  <c r="C77" i="7"/>
  <c r="B77" i="7"/>
  <c r="H75" i="7"/>
  <c r="G75" i="7"/>
  <c r="E75" i="7"/>
  <c r="E74" i="7"/>
  <c r="E73" i="7"/>
  <c r="E72" i="7"/>
  <c r="I71" i="7"/>
  <c r="H71" i="7"/>
  <c r="G71" i="7"/>
  <c r="F71" i="7"/>
  <c r="I70" i="7"/>
  <c r="H70" i="7"/>
  <c r="G70" i="7"/>
  <c r="F70" i="7"/>
  <c r="I69" i="7"/>
  <c r="H69" i="7"/>
  <c r="G69" i="7"/>
  <c r="F69" i="7"/>
  <c r="I68" i="7"/>
  <c r="H68" i="7"/>
  <c r="G68" i="7"/>
  <c r="F68" i="7"/>
  <c r="D66" i="7"/>
  <c r="C66" i="7"/>
  <c r="B66" i="7"/>
  <c r="A65" i="7"/>
  <c r="H59" i="7"/>
  <c r="G59" i="7"/>
  <c r="E59" i="7"/>
  <c r="E58" i="7"/>
  <c r="E57" i="7"/>
  <c r="E56" i="7"/>
  <c r="I55" i="7"/>
  <c r="H55" i="7"/>
  <c r="G55" i="7"/>
  <c r="F55" i="7"/>
  <c r="I54" i="7"/>
  <c r="H54" i="7"/>
  <c r="G54" i="7"/>
  <c r="F54" i="7"/>
  <c r="I53" i="7"/>
  <c r="H53" i="7"/>
  <c r="G53" i="7"/>
  <c r="F53" i="7"/>
  <c r="I52" i="7"/>
  <c r="H52" i="7"/>
  <c r="G52" i="7"/>
  <c r="F52" i="7"/>
  <c r="E51" i="7"/>
  <c r="D51" i="7"/>
  <c r="C51" i="7"/>
  <c r="B51" i="7"/>
  <c r="H49" i="7"/>
  <c r="G49" i="7"/>
  <c r="E49" i="7"/>
  <c r="E48" i="7"/>
  <c r="E47" i="7"/>
  <c r="I46" i="7"/>
  <c r="H46" i="7"/>
  <c r="G46" i="7"/>
  <c r="F46" i="7"/>
  <c r="D44" i="7"/>
  <c r="C44" i="7"/>
  <c r="B44" i="7"/>
  <c r="H42" i="7"/>
  <c r="G42" i="7"/>
  <c r="E42" i="7"/>
  <c r="E41" i="7"/>
  <c r="E40" i="7"/>
  <c r="I39" i="7"/>
  <c r="H39" i="7"/>
  <c r="G39" i="7"/>
  <c r="F39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1" i="3"/>
  <c r="Y1" i="3"/>
  <c r="CU1" i="3"/>
  <c r="CY1" i="3"/>
  <c r="CZ1" i="3"/>
  <c r="DA1" i="3"/>
  <c r="DB1" i="3"/>
  <c r="DC1" i="3"/>
  <c r="A2" i="3"/>
  <c r="Y2" i="3"/>
  <c r="CV2" i="3"/>
  <c r="CY2" i="3"/>
  <c r="CZ2" i="3"/>
  <c r="DB2" i="3" s="1"/>
  <c r="DA2" i="3"/>
  <c r="DC2" i="3"/>
  <c r="A3" i="3"/>
  <c r="Y3" i="3"/>
  <c r="CV3" i="3" s="1"/>
  <c r="CU3" i="3"/>
  <c r="CX3" i="3"/>
  <c r="DG3" i="3" s="1"/>
  <c r="CY3" i="3"/>
  <c r="CZ3" i="3"/>
  <c r="DB3" i="3" s="1"/>
  <c r="DA3" i="3"/>
  <c r="DC3" i="3"/>
  <c r="DH3" i="3"/>
  <c r="A4" i="3"/>
  <c r="Y4" i="3"/>
  <c r="CW4" i="3"/>
  <c r="CX4" i="3"/>
  <c r="DI4" i="3" s="1"/>
  <c r="CY4" i="3"/>
  <c r="CZ4" i="3"/>
  <c r="DB4" i="3" s="1"/>
  <c r="DA4" i="3"/>
  <c r="DC4" i="3"/>
  <c r="A5" i="3"/>
  <c r="Y5" i="3"/>
  <c r="CX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A7" i="3"/>
  <c r="DB7" i="3"/>
  <c r="DC7" i="3"/>
  <c r="A8" i="3"/>
  <c r="Y8" i="3"/>
  <c r="CY8" i="3"/>
  <c r="CZ8" i="3"/>
  <c r="DB8" i="3" s="1"/>
  <c r="DA8" i="3"/>
  <c r="DC8" i="3"/>
  <c r="A9" i="3"/>
  <c r="Y9" i="3"/>
  <c r="CY9" i="3"/>
  <c r="CZ9" i="3"/>
  <c r="DB9" i="3" s="1"/>
  <c r="DA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U22" i="3"/>
  <c r="CY22" i="3"/>
  <c r="CZ22" i="3"/>
  <c r="DB22" i="3" s="1"/>
  <c r="DA22" i="3"/>
  <c r="DC22" i="3"/>
  <c r="A23" i="3"/>
  <c r="Y23" i="3"/>
  <c r="CX23" i="3" s="1"/>
  <c r="CY23" i="3"/>
  <c r="CZ23" i="3"/>
  <c r="DB23" i="3" s="1"/>
  <c r="DA23" i="3"/>
  <c r="DC23" i="3"/>
  <c r="DF23" i="3"/>
  <c r="DJ23" i="3" s="1"/>
  <c r="DG23" i="3"/>
  <c r="A24" i="3"/>
  <c r="Y24" i="3"/>
  <c r="CX24" i="3"/>
  <c r="DG24" i="3" s="1"/>
  <c r="CY24" i="3"/>
  <c r="CZ24" i="3"/>
  <c r="DB24" i="3" s="1"/>
  <c r="DA24" i="3"/>
  <c r="DC24" i="3"/>
  <c r="DF24" i="3"/>
  <c r="DH24" i="3"/>
  <c r="DI24" i="3"/>
  <c r="DJ24" i="3"/>
  <c r="A25" i="3"/>
  <c r="Y25" i="3"/>
  <c r="CX25" i="3" s="1"/>
  <c r="CY25" i="3"/>
  <c r="CZ25" i="3"/>
  <c r="DA25" i="3"/>
  <c r="DB25" i="3"/>
  <c r="DC25" i="3"/>
  <c r="A26" i="3"/>
  <c r="Y26" i="3"/>
  <c r="CX26" i="3" s="1"/>
  <c r="CY26" i="3"/>
  <c r="CZ26" i="3"/>
  <c r="DA26" i="3"/>
  <c r="DB26" i="3"/>
  <c r="DC26" i="3"/>
  <c r="DH26" i="3"/>
  <c r="A27" i="3"/>
  <c r="Y27" i="3"/>
  <c r="CX27" i="3" s="1"/>
  <c r="CY27" i="3"/>
  <c r="CZ27" i="3"/>
  <c r="DA27" i="3"/>
  <c r="DB27" i="3"/>
  <c r="DC27" i="3"/>
  <c r="DG27" i="3"/>
  <c r="A28" i="3"/>
  <c r="Y28" i="3"/>
  <c r="CX28" i="3" s="1"/>
  <c r="CY28" i="3"/>
  <c r="CZ28" i="3"/>
  <c r="DA28" i="3"/>
  <c r="DB28" i="3"/>
  <c r="DC28" i="3"/>
  <c r="A29" i="3"/>
  <c r="Y29" i="3"/>
  <c r="CX29" i="3"/>
  <c r="DG29" i="3" s="1"/>
  <c r="CY29" i="3"/>
  <c r="CZ29" i="3"/>
  <c r="DB29" i="3" s="1"/>
  <c r="DA29" i="3"/>
  <c r="DC29" i="3"/>
  <c r="DF29" i="3"/>
  <c r="DJ29" i="3" s="1"/>
  <c r="DH29" i="3"/>
  <c r="DI29" i="3"/>
  <c r="A30" i="3"/>
  <c r="Y30" i="3"/>
  <c r="CX30" i="3"/>
  <c r="CY30" i="3"/>
  <c r="CZ30" i="3"/>
  <c r="DB30" i="3" s="1"/>
  <c r="DA30" i="3"/>
  <c r="DC30" i="3"/>
  <c r="DH30" i="3"/>
  <c r="DI30" i="3"/>
  <c r="A31" i="3"/>
  <c r="Y31" i="3"/>
  <c r="CX31" i="3"/>
  <c r="CY31" i="3"/>
  <c r="CZ31" i="3"/>
  <c r="DA31" i="3"/>
  <c r="DB31" i="3"/>
  <c r="DC31" i="3"/>
  <c r="A32" i="3"/>
  <c r="Y32" i="3"/>
  <c r="CU32" i="3"/>
  <c r="CV32" i="3"/>
  <c r="CX32" i="3"/>
  <c r="CY32" i="3"/>
  <c r="CZ32" i="3"/>
  <c r="DB32" i="3" s="1"/>
  <c r="DA32" i="3"/>
  <c r="DC32" i="3"/>
  <c r="A33" i="3"/>
  <c r="Y33" i="3"/>
  <c r="CW33" i="3"/>
  <c r="CX33" i="3"/>
  <c r="CY33" i="3"/>
  <c r="CZ33" i="3"/>
  <c r="DA33" i="3"/>
  <c r="DB33" i="3"/>
  <c r="DC33" i="3"/>
  <c r="DF33" i="3"/>
  <c r="A34" i="3"/>
  <c r="Y34" i="3"/>
  <c r="CW34" i="3"/>
  <c r="CX34" i="3"/>
  <c r="CY34" i="3"/>
  <c r="CZ34" i="3"/>
  <c r="DB34" i="3" s="1"/>
  <c r="DA34" i="3"/>
  <c r="DC34" i="3"/>
  <c r="A35" i="3"/>
  <c r="Y35" i="3"/>
  <c r="CX35" i="3" s="1"/>
  <c r="CY35" i="3"/>
  <c r="CZ35" i="3"/>
  <c r="DA35" i="3"/>
  <c r="DB35" i="3"/>
  <c r="DC35" i="3"/>
  <c r="A36" i="3"/>
  <c r="Y36" i="3"/>
  <c r="CU36" i="3"/>
  <c r="CV36" i="3"/>
  <c r="CX36" i="3"/>
  <c r="CY36" i="3"/>
  <c r="CZ36" i="3"/>
  <c r="DB36" i="3" s="1"/>
  <c r="DA36" i="3"/>
  <c r="DC36" i="3"/>
  <c r="DF36" i="3"/>
  <c r="A37" i="3"/>
  <c r="Y37" i="3"/>
  <c r="CY37" i="3"/>
  <c r="CZ37" i="3"/>
  <c r="DB37" i="3" s="1"/>
  <c r="DA37" i="3"/>
  <c r="DC37" i="3"/>
  <c r="A38" i="3"/>
  <c r="Y38" i="3"/>
  <c r="CX38" i="3" s="1"/>
  <c r="CY38" i="3"/>
  <c r="CZ38" i="3"/>
  <c r="DA38" i="3"/>
  <c r="DB38" i="3"/>
  <c r="DC38" i="3"/>
  <c r="A39" i="3"/>
  <c r="Y39" i="3"/>
  <c r="CV39" i="3" s="1"/>
  <c r="CU39" i="3"/>
  <c r="CX39" i="3"/>
  <c r="CY39" i="3"/>
  <c r="CZ39" i="3"/>
  <c r="DB39" i="3" s="1"/>
  <c r="DA39" i="3"/>
  <c r="DC39" i="3"/>
  <c r="A40" i="3"/>
  <c r="Y40" i="3"/>
  <c r="CU40" i="3"/>
  <c r="CV40" i="3"/>
  <c r="CX40" i="3"/>
  <c r="CY40" i="3"/>
  <c r="CZ40" i="3"/>
  <c r="DA40" i="3"/>
  <c r="DB40" i="3"/>
  <c r="DC40" i="3"/>
  <c r="A41" i="3"/>
  <c r="Y41" i="3"/>
  <c r="CU41" i="3"/>
  <c r="CY41" i="3"/>
  <c r="CZ41" i="3"/>
  <c r="DB41" i="3" s="1"/>
  <c r="DA41" i="3"/>
  <c r="DC41" i="3"/>
  <c r="A42" i="3"/>
  <c r="Y42" i="3"/>
  <c r="CX42" i="3"/>
  <c r="CY42" i="3"/>
  <c r="CZ42" i="3"/>
  <c r="DA42" i="3"/>
  <c r="DB42" i="3"/>
  <c r="DC42" i="3"/>
  <c r="A43" i="3"/>
  <c r="Y43" i="3"/>
  <c r="CV43" i="3" s="1"/>
  <c r="CU43" i="3"/>
  <c r="CY43" i="3"/>
  <c r="CZ43" i="3"/>
  <c r="DB43" i="3" s="1"/>
  <c r="DA43" i="3"/>
  <c r="DC43" i="3"/>
  <c r="A44" i="3"/>
  <c r="Y44" i="3"/>
  <c r="CU44" i="3"/>
  <c r="CY44" i="3"/>
  <c r="CZ44" i="3"/>
  <c r="DB44" i="3" s="1"/>
  <c r="DA44" i="3"/>
  <c r="DC44" i="3"/>
  <c r="A45" i="3"/>
  <c r="Y45" i="3"/>
  <c r="CX45" i="3"/>
  <c r="CY45" i="3"/>
  <c r="CZ45" i="3"/>
  <c r="DB45" i="3" s="1"/>
  <c r="DA45" i="3"/>
  <c r="DC45" i="3"/>
  <c r="A46" i="3"/>
  <c r="Y46" i="3"/>
  <c r="CU46" i="3"/>
  <c r="CY46" i="3"/>
  <c r="CZ46" i="3"/>
  <c r="DB46" i="3" s="1"/>
  <c r="DA46" i="3"/>
  <c r="DC46" i="3"/>
  <c r="A47" i="3"/>
  <c r="Y47" i="3"/>
  <c r="CW47" i="3"/>
  <c r="CX47" i="3"/>
  <c r="CY47" i="3"/>
  <c r="CZ47" i="3"/>
  <c r="DB47" i="3" s="1"/>
  <c r="DA47" i="3"/>
  <c r="DC47" i="3"/>
  <c r="DH47" i="3"/>
  <c r="DI47" i="3"/>
  <c r="A48" i="3"/>
  <c r="Y48" i="3"/>
  <c r="CX48" i="3"/>
  <c r="CY48" i="3"/>
  <c r="CZ48" i="3"/>
  <c r="DB48" i="3" s="1"/>
  <c r="DA48" i="3"/>
  <c r="DC48" i="3"/>
  <c r="DF48" i="3"/>
  <c r="DJ48" i="3" s="1"/>
  <c r="DG48" i="3"/>
  <c r="A49" i="3"/>
  <c r="Y49" i="3"/>
  <c r="CU49" i="3"/>
  <c r="CY49" i="3"/>
  <c r="CZ49" i="3"/>
  <c r="DB49" i="3" s="1"/>
  <c r="DA49" i="3"/>
  <c r="DC49" i="3"/>
  <c r="A50" i="3"/>
  <c r="Y50" i="3"/>
  <c r="CW50" i="3"/>
  <c r="CX50" i="3"/>
  <c r="CY50" i="3"/>
  <c r="CZ50" i="3"/>
  <c r="DB50" i="3" s="1"/>
  <c r="DA50" i="3"/>
  <c r="DC50" i="3"/>
  <c r="A51" i="3"/>
  <c r="Y51" i="3"/>
  <c r="CX51" i="3"/>
  <c r="DH51" i="3" s="1"/>
  <c r="CY51" i="3"/>
  <c r="CZ51" i="3"/>
  <c r="DB51" i="3" s="1"/>
  <c r="DA51" i="3"/>
  <c r="DC51" i="3"/>
  <c r="DF51" i="3"/>
  <c r="DJ51" i="3" s="1"/>
  <c r="A52" i="3"/>
  <c r="Y52" i="3"/>
  <c r="CX52" i="3" s="1"/>
  <c r="CY52" i="3"/>
  <c r="CZ52" i="3"/>
  <c r="DA52" i="3"/>
  <c r="DB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B55" i="3" s="1"/>
  <c r="DA55" i="3"/>
  <c r="DC55" i="3"/>
  <c r="A56" i="3"/>
  <c r="Y56" i="3"/>
  <c r="CU56" i="3"/>
  <c r="CY56" i="3"/>
  <c r="CZ56" i="3"/>
  <c r="DA56" i="3"/>
  <c r="DB56" i="3"/>
  <c r="DC56" i="3"/>
  <c r="A57" i="3"/>
  <c r="Y57" i="3"/>
  <c r="CW57" i="3" s="1"/>
  <c r="CX57" i="3"/>
  <c r="CY57" i="3"/>
  <c r="CZ57" i="3"/>
  <c r="DB57" i="3" s="1"/>
  <c r="DA57" i="3"/>
  <c r="DC57" i="3"/>
  <c r="A58" i="3"/>
  <c r="Y58" i="3"/>
  <c r="CX58" i="3"/>
  <c r="CY58" i="3"/>
  <c r="CZ58" i="3"/>
  <c r="DA58" i="3"/>
  <c r="DB58" i="3"/>
  <c r="DC58" i="3"/>
  <c r="DF58" i="3"/>
  <c r="DJ58" i="3" s="1"/>
  <c r="DH58" i="3"/>
  <c r="A59" i="3"/>
  <c r="Y59" i="3"/>
  <c r="CX59" i="3"/>
  <c r="CY59" i="3"/>
  <c r="CZ59" i="3"/>
  <c r="DA59" i="3"/>
  <c r="DB59" i="3"/>
  <c r="DC59" i="3"/>
  <c r="A60" i="3"/>
  <c r="Y60" i="3"/>
  <c r="CY60" i="3"/>
  <c r="CZ60" i="3"/>
  <c r="DB60" i="3" s="1"/>
  <c r="DA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A63" i="3"/>
  <c r="DB63" i="3"/>
  <c r="DC63" i="3"/>
  <c r="A64" i="3"/>
  <c r="Y64" i="3"/>
  <c r="CU64" i="3"/>
  <c r="CY64" i="3"/>
  <c r="CZ64" i="3"/>
  <c r="DA64" i="3"/>
  <c r="DB64" i="3"/>
  <c r="DC64" i="3"/>
  <c r="A65" i="3"/>
  <c r="Y65" i="3"/>
  <c r="CU65" i="3"/>
  <c r="CV65" i="3"/>
  <c r="CX65" i="3"/>
  <c r="CY65" i="3"/>
  <c r="CZ65" i="3"/>
  <c r="DB65" i="3" s="1"/>
  <c r="DA65" i="3"/>
  <c r="DC65" i="3"/>
  <c r="DI65" i="3"/>
  <c r="DJ65" i="3"/>
  <c r="A66" i="3"/>
  <c r="Y66" i="3"/>
  <c r="CX66" i="3"/>
  <c r="CY66" i="3"/>
  <c r="CZ66" i="3"/>
  <c r="DB66" i="3" s="1"/>
  <c r="DA66" i="3"/>
  <c r="DC66" i="3"/>
  <c r="A67" i="3"/>
  <c r="Y67" i="3"/>
  <c r="CX67" i="3" s="1"/>
  <c r="DI67" i="3" s="1"/>
  <c r="CY67" i="3"/>
  <c r="CZ67" i="3"/>
  <c r="DA67" i="3"/>
  <c r="DB67" i="3"/>
  <c r="DC67" i="3"/>
  <c r="DF67" i="3"/>
  <c r="DJ67" i="3" s="1"/>
  <c r="DG67" i="3"/>
  <c r="DH67" i="3"/>
  <c r="A68" i="3"/>
  <c r="Y68" i="3"/>
  <c r="CU68" i="3"/>
  <c r="CV68" i="3"/>
  <c r="CX68" i="3"/>
  <c r="CY68" i="3"/>
  <c r="CZ68" i="3"/>
  <c r="DB68" i="3" s="1"/>
  <c r="DA68" i="3"/>
  <c r="DC68" i="3"/>
  <c r="A69" i="3"/>
  <c r="Y69" i="3"/>
  <c r="CY69" i="3"/>
  <c r="CZ69" i="3"/>
  <c r="DB69" i="3" s="1"/>
  <c r="DA69" i="3"/>
  <c r="DC69" i="3"/>
  <c r="A70" i="3"/>
  <c r="Y70" i="3"/>
  <c r="CX70" i="3" s="1"/>
  <c r="CY70" i="3"/>
  <c r="CZ70" i="3"/>
  <c r="DA70" i="3"/>
  <c r="DB70" i="3"/>
  <c r="DC70" i="3"/>
  <c r="A71" i="3"/>
  <c r="Y71" i="3"/>
  <c r="CX71" i="3" s="1"/>
  <c r="CY71" i="3"/>
  <c r="CZ71" i="3"/>
  <c r="DB71" i="3" s="1"/>
  <c r="DA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B73" i="3" s="1"/>
  <c r="DA73" i="3"/>
  <c r="DC73" i="3"/>
  <c r="A74" i="3"/>
  <c r="Y74" i="3"/>
  <c r="CY74" i="3"/>
  <c r="CZ74" i="3"/>
  <c r="DA74" i="3"/>
  <c r="DB74" i="3"/>
  <c r="DC74" i="3"/>
  <c r="A75" i="3"/>
  <c r="Y75" i="3"/>
  <c r="CY75" i="3"/>
  <c r="CZ75" i="3"/>
  <c r="DA75" i="3"/>
  <c r="DB75" i="3"/>
  <c r="DC75" i="3"/>
  <c r="A76" i="3"/>
  <c r="Y76" i="3"/>
  <c r="CU76" i="3"/>
  <c r="CY76" i="3"/>
  <c r="CZ76" i="3"/>
  <c r="DB76" i="3" s="1"/>
  <c r="DA76" i="3"/>
  <c r="DC76" i="3"/>
  <c r="A77" i="3"/>
  <c r="Y77" i="3"/>
  <c r="CU77" i="3"/>
  <c r="CV77" i="3"/>
  <c r="CX77" i="3"/>
  <c r="CY77" i="3"/>
  <c r="CZ77" i="3"/>
  <c r="DB77" i="3" s="1"/>
  <c r="DA77" i="3"/>
  <c r="DC77" i="3"/>
  <c r="A78" i="3"/>
  <c r="Y78" i="3"/>
  <c r="CX78" i="3" s="1"/>
  <c r="CY78" i="3"/>
  <c r="CZ78" i="3"/>
  <c r="DB78" i="3" s="1"/>
  <c r="DA78" i="3"/>
  <c r="DC78" i="3"/>
  <c r="DF78" i="3"/>
  <c r="DJ78" i="3" s="1"/>
  <c r="DI78" i="3"/>
  <c r="A79" i="3"/>
  <c r="Y79" i="3"/>
  <c r="CX79" i="3"/>
  <c r="CY79" i="3"/>
  <c r="CZ79" i="3"/>
  <c r="DA79" i="3"/>
  <c r="DB79" i="3"/>
  <c r="DC79" i="3"/>
  <c r="DH79" i="3"/>
  <c r="DI79" i="3"/>
  <c r="A80" i="3"/>
  <c r="Y80" i="3"/>
  <c r="CU80" i="3"/>
  <c r="CV80" i="3"/>
  <c r="CX80" i="3"/>
  <c r="CY80" i="3"/>
  <c r="CZ80" i="3"/>
  <c r="DB80" i="3" s="1"/>
  <c r="DA80" i="3"/>
  <c r="DC80" i="3"/>
  <c r="A81" i="3"/>
  <c r="Y81" i="3"/>
  <c r="CW81" i="3"/>
  <c r="CX81" i="3"/>
  <c r="CY81" i="3"/>
  <c r="CZ81" i="3"/>
  <c r="DA81" i="3"/>
  <c r="DB81" i="3"/>
  <c r="DC81" i="3"/>
  <c r="A82" i="3"/>
  <c r="Y82" i="3"/>
  <c r="CX82" i="3" s="1"/>
  <c r="CY82" i="3"/>
  <c r="CZ82" i="3"/>
  <c r="DB82" i="3" s="1"/>
  <c r="DA82" i="3"/>
  <c r="DC82" i="3"/>
  <c r="A83" i="3"/>
  <c r="Y83" i="3"/>
  <c r="CX83" i="3" s="1"/>
  <c r="CY83" i="3"/>
  <c r="CZ83" i="3"/>
  <c r="DB83" i="3" s="1"/>
  <c r="DA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B86" i="3" s="1"/>
  <c r="DA86" i="3"/>
  <c r="DC86" i="3"/>
  <c r="A87" i="3"/>
  <c r="Y87" i="3"/>
  <c r="CY87" i="3"/>
  <c r="CZ87" i="3"/>
  <c r="DB87" i="3" s="1"/>
  <c r="DA87" i="3"/>
  <c r="DC87" i="3"/>
  <c r="A88" i="3"/>
  <c r="Y88" i="3"/>
  <c r="CU88" i="3"/>
  <c r="CV88" i="3"/>
  <c r="CX88" i="3"/>
  <c r="DF88" i="3" s="1"/>
  <c r="CY88" i="3"/>
  <c r="CZ88" i="3"/>
  <c r="DB88" i="3" s="1"/>
  <c r="DA88" i="3"/>
  <c r="DC88" i="3"/>
  <c r="A89" i="3"/>
  <c r="Y89" i="3"/>
  <c r="CU89" i="3"/>
  <c r="CV89" i="3"/>
  <c r="CX89" i="3"/>
  <c r="DG89" i="3" s="1"/>
  <c r="CY89" i="3"/>
  <c r="CZ89" i="3"/>
  <c r="DA89" i="3"/>
  <c r="DB89" i="3"/>
  <c r="DC89" i="3"/>
  <c r="A90" i="3"/>
  <c r="Y90" i="3"/>
  <c r="CX90" i="3" s="1"/>
  <c r="CY90" i="3"/>
  <c r="CZ90" i="3"/>
  <c r="DB90" i="3" s="1"/>
  <c r="DA90" i="3"/>
  <c r="DC90" i="3"/>
  <c r="A91" i="3"/>
  <c r="Y91" i="3"/>
  <c r="CX91" i="3"/>
  <c r="DI91" i="3" s="1"/>
  <c r="CY91" i="3"/>
  <c r="CZ91" i="3"/>
  <c r="DB91" i="3" s="1"/>
  <c r="DA91" i="3"/>
  <c r="DC91" i="3"/>
  <c r="A92" i="3"/>
  <c r="Y92" i="3"/>
  <c r="CU92" i="3"/>
  <c r="CY92" i="3"/>
  <c r="CZ92" i="3"/>
  <c r="DB92" i="3" s="1"/>
  <c r="DA92" i="3"/>
  <c r="DC92" i="3"/>
  <c r="A93" i="3"/>
  <c r="Y93" i="3"/>
  <c r="CY93" i="3"/>
  <c r="CZ93" i="3"/>
  <c r="DA93" i="3"/>
  <c r="DB93" i="3"/>
  <c r="DC93" i="3"/>
  <c r="A94" i="3"/>
  <c r="Y94" i="3"/>
  <c r="CX94" i="3"/>
  <c r="CY94" i="3"/>
  <c r="CZ94" i="3"/>
  <c r="DA94" i="3"/>
  <c r="DB94" i="3"/>
  <c r="DC94" i="3"/>
  <c r="A95" i="3"/>
  <c r="Y95" i="3"/>
  <c r="CX95" i="3"/>
  <c r="CY95" i="3"/>
  <c r="CZ95" i="3"/>
  <c r="DA95" i="3"/>
  <c r="DB95" i="3"/>
  <c r="DC95" i="3"/>
  <c r="DF95" i="3"/>
  <c r="DJ95" i="3" s="1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Y98" i="3"/>
  <c r="CZ98" i="3"/>
  <c r="DB98" i="3" s="1"/>
  <c r="DA98" i="3"/>
  <c r="DC98" i="3"/>
  <c r="A99" i="3"/>
  <c r="Y99" i="3"/>
  <c r="CY99" i="3"/>
  <c r="CZ99" i="3"/>
  <c r="DB99" i="3" s="1"/>
  <c r="DA99" i="3"/>
  <c r="DC99" i="3"/>
  <c r="A100" i="3"/>
  <c r="Y100" i="3"/>
  <c r="CX100" i="3" s="1"/>
  <c r="CU100" i="3"/>
  <c r="CV100" i="3"/>
  <c r="CY100" i="3"/>
  <c r="CZ100" i="3"/>
  <c r="DA100" i="3"/>
  <c r="DB100" i="3"/>
  <c r="DC100" i="3"/>
  <c r="A101" i="3"/>
  <c r="Y101" i="3"/>
  <c r="CU101" i="3"/>
  <c r="CY101" i="3"/>
  <c r="CZ101" i="3"/>
  <c r="DA101" i="3"/>
  <c r="DB101" i="3"/>
  <c r="DC101" i="3"/>
  <c r="A102" i="3"/>
  <c r="Y102" i="3"/>
  <c r="CX102" i="3" s="1"/>
  <c r="DH102" i="3" s="1"/>
  <c r="CY102" i="3"/>
  <c r="CZ102" i="3"/>
  <c r="DA102" i="3"/>
  <c r="DB102" i="3"/>
  <c r="DC102" i="3"/>
  <c r="DG102" i="3"/>
  <c r="A103" i="3"/>
  <c r="Y103" i="3"/>
  <c r="CX103" i="3"/>
  <c r="CY103" i="3"/>
  <c r="CZ103" i="3"/>
  <c r="DA103" i="3"/>
  <c r="DB103" i="3"/>
  <c r="DC103" i="3"/>
  <c r="A104" i="3"/>
  <c r="Y104" i="3"/>
  <c r="CU104" i="3"/>
  <c r="CV104" i="3"/>
  <c r="CX104" i="3"/>
  <c r="CY104" i="3"/>
  <c r="CZ104" i="3"/>
  <c r="DB104" i="3" s="1"/>
  <c r="DA104" i="3"/>
  <c r="DC104" i="3"/>
  <c r="A105" i="3"/>
  <c r="Y105" i="3"/>
  <c r="CY105" i="3"/>
  <c r="CZ105" i="3"/>
  <c r="DA105" i="3"/>
  <c r="DB105" i="3"/>
  <c r="DC105" i="3"/>
  <c r="A106" i="3"/>
  <c r="Y106" i="3"/>
  <c r="CX106" i="3" s="1"/>
  <c r="CY106" i="3"/>
  <c r="CZ106" i="3"/>
  <c r="DB106" i="3" s="1"/>
  <c r="DA106" i="3"/>
  <c r="DC106" i="3"/>
  <c r="A107" i="3"/>
  <c r="Y107" i="3"/>
  <c r="CX107" i="3" s="1"/>
  <c r="CY107" i="3"/>
  <c r="CZ107" i="3"/>
  <c r="DB107" i="3" s="1"/>
  <c r="DA107" i="3"/>
  <c r="DC107" i="3"/>
  <c r="DG107" i="3"/>
  <c r="A108" i="3"/>
  <c r="Y108" i="3"/>
  <c r="CY108" i="3"/>
  <c r="CZ108" i="3"/>
  <c r="DA108" i="3"/>
  <c r="DB108" i="3"/>
  <c r="DC108" i="3"/>
  <c r="A109" i="3"/>
  <c r="Y109" i="3"/>
  <c r="CY109" i="3"/>
  <c r="CZ109" i="3"/>
  <c r="DB109" i="3" s="1"/>
  <c r="DA109" i="3"/>
  <c r="DC109" i="3"/>
  <c r="A110" i="3"/>
  <c r="Y110" i="3"/>
  <c r="CY110" i="3"/>
  <c r="CZ110" i="3"/>
  <c r="DB110" i="3" s="1"/>
  <c r="DA110" i="3"/>
  <c r="DC110" i="3"/>
  <c r="A111" i="3"/>
  <c r="Y111" i="3"/>
  <c r="CY111" i="3"/>
  <c r="CZ111" i="3"/>
  <c r="DB111" i="3" s="1"/>
  <c r="DA111" i="3"/>
  <c r="DC111" i="3"/>
  <c r="A112" i="3"/>
  <c r="Y112" i="3"/>
  <c r="CU112" i="3"/>
  <c r="CY112" i="3"/>
  <c r="CZ112" i="3"/>
  <c r="DB112" i="3" s="1"/>
  <c r="DA112" i="3"/>
  <c r="DC112" i="3"/>
  <c r="A113" i="3"/>
  <c r="Y113" i="3"/>
  <c r="CX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B115" i="3" s="1"/>
  <c r="DA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B117" i="3" s="1"/>
  <c r="DA117" i="3"/>
  <c r="DC117" i="3"/>
  <c r="A118" i="3"/>
  <c r="Y118" i="3"/>
  <c r="CU118" i="3"/>
  <c r="CV118" i="3"/>
  <c r="CX118" i="3"/>
  <c r="CY118" i="3"/>
  <c r="CZ118" i="3"/>
  <c r="DA118" i="3"/>
  <c r="DB118" i="3"/>
  <c r="DC118" i="3"/>
  <c r="A119" i="3"/>
  <c r="Y119" i="3"/>
  <c r="CX119" i="3" s="1"/>
  <c r="CY119" i="3"/>
  <c r="CZ119" i="3"/>
  <c r="DB119" i="3" s="1"/>
  <c r="DA119" i="3"/>
  <c r="DC119" i="3"/>
  <c r="A120" i="3"/>
  <c r="Y120" i="3"/>
  <c r="CX120" i="3" s="1"/>
  <c r="DI120" i="3" s="1"/>
  <c r="CY120" i="3"/>
  <c r="CZ120" i="3"/>
  <c r="DA120" i="3"/>
  <c r="DB120" i="3"/>
  <c r="DC120" i="3"/>
  <c r="DF120" i="3"/>
  <c r="DJ120" i="3" s="1"/>
  <c r="DG120" i="3"/>
  <c r="A121" i="3"/>
  <c r="Y121" i="3"/>
  <c r="CX121" i="3"/>
  <c r="CY121" i="3"/>
  <c r="CZ121" i="3"/>
  <c r="DB121" i="3" s="1"/>
  <c r="DA121" i="3"/>
  <c r="DC121" i="3"/>
  <c r="A122" i="3"/>
  <c r="Y122" i="3"/>
  <c r="CY122" i="3"/>
  <c r="CZ122" i="3"/>
  <c r="DB122" i="3" s="1"/>
  <c r="DA122" i="3"/>
  <c r="DC122" i="3"/>
  <c r="A123" i="3"/>
  <c r="Y123" i="3"/>
  <c r="CY123" i="3"/>
  <c r="CZ123" i="3"/>
  <c r="DA123" i="3"/>
  <c r="DB123" i="3"/>
  <c r="DC123" i="3"/>
  <c r="A124" i="3"/>
  <c r="Y124" i="3"/>
  <c r="CU124" i="3"/>
  <c r="CV124" i="3"/>
  <c r="CX124" i="3"/>
  <c r="CY124" i="3"/>
  <c r="CZ124" i="3"/>
  <c r="DB124" i="3" s="1"/>
  <c r="DA124" i="3"/>
  <c r="DC124" i="3"/>
  <c r="A125" i="3"/>
  <c r="Y125" i="3"/>
  <c r="CW125" i="3"/>
  <c r="CX125" i="3"/>
  <c r="DF125" i="3" s="1"/>
  <c r="CY125" i="3"/>
  <c r="CZ125" i="3"/>
  <c r="DA125" i="3"/>
  <c r="DB125" i="3"/>
  <c r="DC125" i="3"/>
  <c r="DG125" i="3"/>
  <c r="DJ125" i="3" s="1"/>
  <c r="DI125" i="3"/>
  <c r="A126" i="3"/>
  <c r="Y126" i="3"/>
  <c r="CU126" i="3"/>
  <c r="CY126" i="3"/>
  <c r="CZ126" i="3"/>
  <c r="DB126" i="3" s="1"/>
  <c r="DA126" i="3"/>
  <c r="DC126" i="3"/>
  <c r="A127" i="3"/>
  <c r="Y127" i="3"/>
  <c r="CW127" i="3" s="1"/>
  <c r="CX127" i="3"/>
  <c r="CY127" i="3"/>
  <c r="CZ127" i="3"/>
  <c r="DA127" i="3"/>
  <c r="DB127" i="3"/>
  <c r="DC127" i="3"/>
  <c r="A128" i="3"/>
  <c r="Y128" i="3"/>
  <c r="CX128" i="3" s="1"/>
  <c r="CY128" i="3"/>
  <c r="CZ128" i="3"/>
  <c r="DA128" i="3"/>
  <c r="DB128" i="3"/>
  <c r="DC128" i="3"/>
  <c r="A129" i="3"/>
  <c r="Y129" i="3"/>
  <c r="CX129" i="3"/>
  <c r="CY129" i="3"/>
  <c r="CZ129" i="3"/>
  <c r="DA129" i="3"/>
  <c r="DB129" i="3"/>
  <c r="DC129" i="3"/>
  <c r="A130" i="3"/>
  <c r="Y130" i="3"/>
  <c r="CX130" i="3"/>
  <c r="CY130" i="3"/>
  <c r="CZ130" i="3"/>
  <c r="DB130" i="3" s="1"/>
  <c r="DA130" i="3"/>
  <c r="DC130" i="3"/>
  <c r="A131" i="3"/>
  <c r="Y131" i="3"/>
  <c r="CX131" i="3" s="1"/>
  <c r="CU131" i="3"/>
  <c r="CV131" i="3"/>
  <c r="CY131" i="3"/>
  <c r="CZ131" i="3"/>
  <c r="DA131" i="3"/>
  <c r="DB131" i="3"/>
  <c r="DC131" i="3"/>
  <c r="A132" i="3"/>
  <c r="Y132" i="3"/>
  <c r="CX132" i="3"/>
  <c r="DF132" i="3" s="1"/>
  <c r="DJ132" i="3" s="1"/>
  <c r="CY132" i="3"/>
  <c r="CZ132" i="3"/>
  <c r="DB132" i="3" s="1"/>
  <c r="DA132" i="3"/>
  <c r="DC132" i="3"/>
  <c r="A133" i="3"/>
  <c r="Y133" i="3"/>
  <c r="CX133" i="3"/>
  <c r="DH133" i="3" s="1"/>
  <c r="CY133" i="3"/>
  <c r="CZ133" i="3"/>
  <c r="DB133" i="3" s="1"/>
  <c r="DA133" i="3"/>
  <c r="DC133" i="3"/>
  <c r="DI133" i="3"/>
  <c r="A134" i="3"/>
  <c r="Y134" i="3"/>
  <c r="CX134" i="3" s="1"/>
  <c r="CY134" i="3"/>
  <c r="CZ134" i="3"/>
  <c r="DA134" i="3"/>
  <c r="DB134" i="3"/>
  <c r="DC134" i="3"/>
  <c r="A135" i="3"/>
  <c r="Y135" i="3"/>
  <c r="CX135" i="3" s="1"/>
  <c r="CU135" i="3"/>
  <c r="CV135" i="3"/>
  <c r="CY135" i="3"/>
  <c r="CZ135" i="3"/>
  <c r="DA135" i="3"/>
  <c r="DB135" i="3"/>
  <c r="DC135" i="3"/>
  <c r="A136" i="3"/>
  <c r="Y136" i="3"/>
  <c r="CX136" i="3"/>
  <c r="CY136" i="3"/>
  <c r="CZ136" i="3"/>
  <c r="DB136" i="3" s="1"/>
  <c r="DA136" i="3"/>
  <c r="DC136" i="3"/>
  <c r="A137" i="3"/>
  <c r="Y137" i="3"/>
  <c r="CX137" i="3" s="1"/>
  <c r="CY137" i="3"/>
  <c r="CZ137" i="3"/>
  <c r="DB137" i="3" s="1"/>
  <c r="DA137" i="3"/>
  <c r="DC137" i="3"/>
  <c r="A138" i="3"/>
  <c r="Y138" i="3"/>
  <c r="CX138" i="3"/>
  <c r="CY138" i="3"/>
  <c r="CZ138" i="3"/>
  <c r="DA138" i="3"/>
  <c r="DB138" i="3"/>
  <c r="DC138" i="3"/>
  <c r="DF138" i="3"/>
  <c r="DJ138" i="3" s="1"/>
  <c r="DG138" i="3"/>
  <c r="DH138" i="3"/>
  <c r="DI138" i="3"/>
  <c r="A139" i="3"/>
  <c r="Y139" i="3"/>
  <c r="CU139" i="3"/>
  <c r="CV139" i="3"/>
  <c r="CX139" i="3"/>
  <c r="CY139" i="3"/>
  <c r="CZ139" i="3"/>
  <c r="DB139" i="3" s="1"/>
  <c r="DA139" i="3"/>
  <c r="DC139" i="3"/>
  <c r="A140" i="3"/>
  <c r="Y140" i="3"/>
  <c r="CX140" i="3"/>
  <c r="CY140" i="3"/>
  <c r="CZ140" i="3"/>
  <c r="DB140" i="3" s="1"/>
  <c r="DA140" i="3"/>
  <c r="DC140" i="3"/>
  <c r="A141" i="3"/>
  <c r="Y141" i="3"/>
  <c r="CX141" i="3" s="1"/>
  <c r="CY141" i="3"/>
  <c r="CZ141" i="3"/>
  <c r="DA141" i="3"/>
  <c r="DB141" i="3"/>
  <c r="DC141" i="3"/>
  <c r="A142" i="3"/>
  <c r="Y142" i="3"/>
  <c r="CX142" i="3"/>
  <c r="CY142" i="3"/>
  <c r="CZ142" i="3"/>
  <c r="DB142" i="3" s="1"/>
  <c r="DA142" i="3"/>
  <c r="DC142" i="3"/>
  <c r="A143" i="3"/>
  <c r="Y143" i="3"/>
  <c r="CY143" i="3"/>
  <c r="CZ143" i="3"/>
  <c r="DA143" i="3"/>
  <c r="DB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A145" i="3"/>
  <c r="DB145" i="3"/>
  <c r="DC145" i="3"/>
  <c r="A146" i="3"/>
  <c r="Y146" i="3"/>
  <c r="CY146" i="3"/>
  <c r="CZ146" i="3"/>
  <c r="DB146" i="3" s="1"/>
  <c r="DA146" i="3"/>
  <c r="DC146" i="3"/>
  <c r="A147" i="3"/>
  <c r="Y147" i="3"/>
  <c r="CY147" i="3"/>
  <c r="CZ147" i="3"/>
  <c r="DA147" i="3"/>
  <c r="DB147" i="3"/>
  <c r="DC14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B30" i="1"/>
  <c r="C30" i="1"/>
  <c r="D30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AC32" i="1"/>
  <c r="CQ32" i="1" s="1"/>
  <c r="P32" i="1" s="1"/>
  <c r="AE32" i="1"/>
  <c r="AD32" i="1" s="1"/>
  <c r="AF32" i="1"/>
  <c r="CT32" i="1" s="1"/>
  <c r="S32" i="1" s="1"/>
  <c r="AG32" i="1"/>
  <c r="AH32" i="1"/>
  <c r="AI32" i="1"/>
  <c r="AJ32" i="1"/>
  <c r="CU32" i="1"/>
  <c r="T32" i="1" s="1"/>
  <c r="CV32" i="1"/>
  <c r="U32" i="1" s="1"/>
  <c r="CW32" i="1"/>
  <c r="V32" i="1" s="1"/>
  <c r="CX32" i="1"/>
  <c r="W32" i="1" s="1"/>
  <c r="CY32" i="1"/>
  <c r="X32" i="1" s="1"/>
  <c r="CZ32" i="1"/>
  <c r="Y32" i="1" s="1"/>
  <c r="FR32" i="1"/>
  <c r="GL32" i="1"/>
  <c r="GN32" i="1"/>
  <c r="GO32" i="1"/>
  <c r="GV32" i="1"/>
  <c r="HC32" i="1"/>
  <c r="GX32" i="1" s="1"/>
  <c r="D33" i="1"/>
  <c r="I33" i="1"/>
  <c r="K33" i="1"/>
  <c r="AC33" i="1"/>
  <c r="AE33" i="1"/>
  <c r="AF33" i="1"/>
  <c r="CT33" i="1" s="1"/>
  <c r="S33" i="1" s="1"/>
  <c r="CY33" i="1" s="1"/>
  <c r="X33" i="1" s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CZ33" i="1"/>
  <c r="Y33" i="1" s="1"/>
  <c r="FR33" i="1"/>
  <c r="GL33" i="1"/>
  <c r="GN33" i="1"/>
  <c r="GO33" i="1"/>
  <c r="GV33" i="1"/>
  <c r="HC33" i="1" s="1"/>
  <c r="C34" i="1"/>
  <c r="D34" i="1"/>
  <c r="I34" i="1"/>
  <c r="K34" i="1"/>
  <c r="U34" i="1"/>
  <c r="W34" i="1"/>
  <c r="AC34" i="1"/>
  <c r="AE34" i="1"/>
  <c r="AF34" i="1"/>
  <c r="AG34" i="1"/>
  <c r="AH34" i="1"/>
  <c r="CV34" i="1" s="1"/>
  <c r="AI34" i="1"/>
  <c r="CW34" i="1" s="1"/>
  <c r="V34" i="1" s="1"/>
  <c r="AJ34" i="1"/>
  <c r="CX34" i="1" s="1"/>
  <c r="CQ34" i="1"/>
  <c r="P34" i="1" s="1"/>
  <c r="CR34" i="1"/>
  <c r="Q34" i="1" s="1"/>
  <c r="CS34" i="1"/>
  <c r="CT34" i="1"/>
  <c r="S34" i="1" s="1"/>
  <c r="CU34" i="1"/>
  <c r="T34" i="1" s="1"/>
  <c r="FR34" i="1"/>
  <c r="BY39" i="1" s="1"/>
  <c r="GL34" i="1"/>
  <c r="BZ39" i="1" s="1"/>
  <c r="GN34" i="1"/>
  <c r="GO34" i="1"/>
  <c r="GV34" i="1"/>
  <c r="HC34" i="1" s="1"/>
  <c r="GX34" i="1" s="1"/>
  <c r="C35" i="1"/>
  <c r="D35" i="1"/>
  <c r="I35" i="1"/>
  <c r="K35" i="1"/>
  <c r="AC35" i="1"/>
  <c r="CQ35" i="1" s="1"/>
  <c r="AE35" i="1"/>
  <c r="AF35" i="1"/>
  <c r="AG35" i="1"/>
  <c r="CU35" i="1" s="1"/>
  <c r="AH35" i="1"/>
  <c r="AI35" i="1"/>
  <c r="AJ35" i="1"/>
  <c r="CR35" i="1"/>
  <c r="CS35" i="1"/>
  <c r="CT35" i="1"/>
  <c r="CV35" i="1"/>
  <c r="CW35" i="1"/>
  <c r="CX35" i="1"/>
  <c r="FR35" i="1"/>
  <c r="GL35" i="1"/>
  <c r="GN35" i="1"/>
  <c r="GO35" i="1"/>
  <c r="GV35" i="1"/>
  <c r="HC35" i="1"/>
  <c r="GX35" i="1" s="1"/>
  <c r="C36" i="1"/>
  <c r="D36" i="1"/>
  <c r="AC36" i="1"/>
  <c r="AE36" i="1"/>
  <c r="AF36" i="1"/>
  <c r="AG36" i="1"/>
  <c r="CU36" i="1" s="1"/>
  <c r="T36" i="1" s="1"/>
  <c r="AH36" i="1"/>
  <c r="CV36" i="1" s="1"/>
  <c r="U36" i="1" s="1"/>
  <c r="AI36" i="1"/>
  <c r="AJ36" i="1"/>
  <c r="CW36" i="1"/>
  <c r="V36" i="1" s="1"/>
  <c r="CX36" i="1"/>
  <c r="W36" i="1" s="1"/>
  <c r="FR36" i="1"/>
  <c r="GL36" i="1"/>
  <c r="GN36" i="1"/>
  <c r="GO36" i="1"/>
  <c r="GV36" i="1"/>
  <c r="HC36" i="1" s="1"/>
  <c r="GX36" i="1" s="1"/>
  <c r="D37" i="1"/>
  <c r="I37" i="1"/>
  <c r="K37" i="1"/>
  <c r="AC37" i="1"/>
  <c r="CQ37" i="1" s="1"/>
  <c r="P37" i="1" s="1"/>
  <c r="AD37" i="1"/>
  <c r="AE37" i="1"/>
  <c r="CR37" i="1" s="1"/>
  <c r="AF37" i="1"/>
  <c r="CT37" i="1" s="1"/>
  <c r="S37" i="1" s="1"/>
  <c r="AG37" i="1"/>
  <c r="CU37" i="1" s="1"/>
  <c r="AH37" i="1"/>
  <c r="CV37" i="1" s="1"/>
  <c r="AI37" i="1"/>
  <c r="CW37" i="1" s="1"/>
  <c r="AJ37" i="1"/>
  <c r="CX37" i="1" s="1"/>
  <c r="CS37" i="1"/>
  <c r="R37" i="1" s="1"/>
  <c r="FR37" i="1"/>
  <c r="GK37" i="1"/>
  <c r="GL37" i="1"/>
  <c r="GN37" i="1"/>
  <c r="GO37" i="1"/>
  <c r="GV37" i="1"/>
  <c r="HC37" i="1" s="1"/>
  <c r="GX37" i="1"/>
  <c r="B39" i="1"/>
  <c r="C39" i="1"/>
  <c r="D39" i="1"/>
  <c r="F39" i="1"/>
  <c r="F30" i="1" s="1"/>
  <c r="G39" i="1"/>
  <c r="AO39" i="1"/>
  <c r="BX39" i="1"/>
  <c r="BX30" i="1" s="1"/>
  <c r="CK39" i="1"/>
  <c r="CL39" i="1"/>
  <c r="CM39" i="1"/>
  <c r="BD39" i="1" s="1"/>
  <c r="BD30" i="1" s="1"/>
  <c r="F64" i="1"/>
  <c r="D69" i="1"/>
  <c r="D71" i="1"/>
  <c r="E71" i="1"/>
  <c r="Z71" i="1"/>
  <c r="AA71" i="1"/>
  <c r="AM71" i="1"/>
  <c r="AN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EH71" i="1"/>
  <c r="EI71" i="1"/>
  <c r="EJ71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Y71" i="1"/>
  <c r="EZ71" i="1"/>
  <c r="FA71" i="1"/>
  <c r="FB71" i="1"/>
  <c r="FC71" i="1"/>
  <c r="FD71" i="1"/>
  <c r="FE71" i="1"/>
  <c r="FF71" i="1"/>
  <c r="FG71" i="1"/>
  <c r="FH71" i="1"/>
  <c r="FI71" i="1"/>
  <c r="FJ71" i="1"/>
  <c r="FK71" i="1"/>
  <c r="FL71" i="1"/>
  <c r="FM71" i="1"/>
  <c r="FN71" i="1"/>
  <c r="FO71" i="1"/>
  <c r="FP71" i="1"/>
  <c r="FQ71" i="1"/>
  <c r="FR71" i="1"/>
  <c r="FS71" i="1"/>
  <c r="FT71" i="1"/>
  <c r="FU71" i="1"/>
  <c r="FV71" i="1"/>
  <c r="FW71" i="1"/>
  <c r="FX71" i="1"/>
  <c r="FY71" i="1"/>
  <c r="FZ71" i="1"/>
  <c r="GA71" i="1"/>
  <c r="GB71" i="1"/>
  <c r="GC71" i="1"/>
  <c r="GD71" i="1"/>
  <c r="GE71" i="1"/>
  <c r="GF71" i="1"/>
  <c r="GG71" i="1"/>
  <c r="GH71" i="1"/>
  <c r="GI71" i="1"/>
  <c r="GJ71" i="1"/>
  <c r="GK71" i="1"/>
  <c r="GL71" i="1"/>
  <c r="GM71" i="1"/>
  <c r="GN71" i="1"/>
  <c r="GO71" i="1"/>
  <c r="GP71" i="1"/>
  <c r="GQ71" i="1"/>
  <c r="GR71" i="1"/>
  <c r="GS71" i="1"/>
  <c r="GT71" i="1"/>
  <c r="GU71" i="1"/>
  <c r="GV71" i="1"/>
  <c r="GW71" i="1"/>
  <c r="GX71" i="1"/>
  <c r="D73" i="1"/>
  <c r="I73" i="1"/>
  <c r="K73" i="1"/>
  <c r="AC73" i="1"/>
  <c r="CQ73" i="1" s="1"/>
  <c r="AE73" i="1"/>
  <c r="AF73" i="1"/>
  <c r="CT73" i="1" s="1"/>
  <c r="AG73" i="1"/>
  <c r="CU73" i="1" s="1"/>
  <c r="AH73" i="1"/>
  <c r="CV73" i="1" s="1"/>
  <c r="AI73" i="1"/>
  <c r="CW73" i="1" s="1"/>
  <c r="AJ73" i="1"/>
  <c r="CX73" i="1" s="1"/>
  <c r="FR73" i="1"/>
  <c r="GL73" i="1"/>
  <c r="GN73" i="1"/>
  <c r="GO73" i="1"/>
  <c r="GV73" i="1"/>
  <c r="HC73" i="1"/>
  <c r="D74" i="1"/>
  <c r="I74" i="1"/>
  <c r="K74" i="1"/>
  <c r="U74" i="1"/>
  <c r="W74" i="1"/>
  <c r="AC74" i="1"/>
  <c r="CQ74" i="1" s="1"/>
  <c r="AD74" i="1"/>
  <c r="AB74" i="1" s="1"/>
  <c r="AE74" i="1"/>
  <c r="AF74" i="1"/>
  <c r="CT74" i="1" s="1"/>
  <c r="AG74" i="1"/>
  <c r="CU74" i="1" s="1"/>
  <c r="AH74" i="1"/>
  <c r="AI74" i="1"/>
  <c r="AJ74" i="1"/>
  <c r="CV74" i="1"/>
  <c r="CW74" i="1"/>
  <c r="CX74" i="1"/>
  <c r="FR74" i="1"/>
  <c r="GL74" i="1"/>
  <c r="GN74" i="1"/>
  <c r="GO74" i="1"/>
  <c r="GV74" i="1"/>
  <c r="HC74" i="1"/>
  <c r="D75" i="1"/>
  <c r="I75" i="1"/>
  <c r="K75" i="1"/>
  <c r="AC75" i="1"/>
  <c r="AE75" i="1"/>
  <c r="AF75" i="1"/>
  <c r="CT75" i="1" s="1"/>
  <c r="S75" i="1" s="1"/>
  <c r="AG75" i="1"/>
  <c r="CU75" i="1" s="1"/>
  <c r="T75" i="1" s="1"/>
  <c r="AH75" i="1"/>
  <c r="CV75" i="1" s="1"/>
  <c r="AI75" i="1"/>
  <c r="CW75" i="1" s="1"/>
  <c r="AJ75" i="1"/>
  <c r="CX75" i="1" s="1"/>
  <c r="FR75" i="1"/>
  <c r="GL75" i="1"/>
  <c r="GN75" i="1"/>
  <c r="GO75" i="1"/>
  <c r="GV75" i="1"/>
  <c r="HC75" i="1" s="1"/>
  <c r="D76" i="1"/>
  <c r="AC76" i="1"/>
  <c r="AE76" i="1"/>
  <c r="AD76" i="1" s="1"/>
  <c r="AF76" i="1"/>
  <c r="CT76" i="1" s="1"/>
  <c r="S76" i="1" s="1"/>
  <c r="AG76" i="1"/>
  <c r="CU76" i="1" s="1"/>
  <c r="T76" i="1" s="1"/>
  <c r="AH76" i="1"/>
  <c r="CV76" i="1" s="1"/>
  <c r="U76" i="1" s="1"/>
  <c r="AI76" i="1"/>
  <c r="CW76" i="1" s="1"/>
  <c r="V76" i="1" s="1"/>
  <c r="AJ76" i="1"/>
  <c r="CR76" i="1"/>
  <c r="Q76" i="1" s="1"/>
  <c r="CS76" i="1"/>
  <c r="R76" i="1" s="1"/>
  <c r="CX76" i="1"/>
  <c r="W76" i="1" s="1"/>
  <c r="FR76" i="1"/>
  <c r="GK76" i="1"/>
  <c r="GL76" i="1"/>
  <c r="GN76" i="1"/>
  <c r="GO76" i="1"/>
  <c r="GV76" i="1"/>
  <c r="HC76" i="1" s="1"/>
  <c r="GX76" i="1" s="1"/>
  <c r="B78" i="1"/>
  <c r="B71" i="1" s="1"/>
  <c r="C78" i="1"/>
  <c r="C71" i="1" s="1"/>
  <c r="D78" i="1"/>
  <c r="F78" i="1"/>
  <c r="F71" i="1" s="1"/>
  <c r="G78" i="1"/>
  <c r="G71" i="1" s="1"/>
  <c r="U78" i="1"/>
  <c r="V78" i="1"/>
  <c r="F101" i="1" s="1"/>
  <c r="W78" i="1"/>
  <c r="X78" i="1"/>
  <c r="F104" i="1" s="1"/>
  <c r="Y78" i="1"/>
  <c r="F105" i="1" s="1"/>
  <c r="AB78" i="1"/>
  <c r="AC78" i="1"/>
  <c r="P78" i="1" s="1"/>
  <c r="F81" i="1" s="1"/>
  <c r="AD78" i="1"/>
  <c r="AE78" i="1"/>
  <c r="AF78" i="1"/>
  <c r="AG78" i="1"/>
  <c r="AG71" i="1" s="1"/>
  <c r="AH78" i="1"/>
  <c r="AH71" i="1" s="1"/>
  <c r="AI78" i="1"/>
  <c r="AI71" i="1" s="1"/>
  <c r="AJ78" i="1"/>
  <c r="AJ71" i="1" s="1"/>
  <c r="AK78" i="1"/>
  <c r="AK71" i="1" s="1"/>
  <c r="AL78" i="1"/>
  <c r="AL71" i="1" s="1"/>
  <c r="AO78" i="1"/>
  <c r="AP78" i="1"/>
  <c r="F87" i="1" s="1"/>
  <c r="BX78" i="1"/>
  <c r="BY78" i="1"/>
  <c r="BY71" i="1" s="1"/>
  <c r="BZ78" i="1"/>
  <c r="CA78" i="1"/>
  <c r="CA71" i="1" s="1"/>
  <c r="CB78" i="1"/>
  <c r="CC78" i="1"/>
  <c r="CD78" i="1"/>
  <c r="CJ78" i="1"/>
  <c r="CK78" i="1"/>
  <c r="BB78" i="1" s="1"/>
  <c r="CL78" i="1"/>
  <c r="CM78" i="1"/>
  <c r="D108" i="1"/>
  <c r="B110" i="1"/>
  <c r="C110" i="1"/>
  <c r="E110" i="1"/>
  <c r="G110" i="1"/>
  <c r="Z110" i="1"/>
  <c r="AA110" i="1"/>
  <c r="AM110" i="1"/>
  <c r="AN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CK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J110" i="1"/>
  <c r="FK110" i="1"/>
  <c r="FL110" i="1"/>
  <c r="FM110" i="1"/>
  <c r="FN110" i="1"/>
  <c r="FO110" i="1"/>
  <c r="FP110" i="1"/>
  <c r="FQ110" i="1"/>
  <c r="FR110" i="1"/>
  <c r="FS110" i="1"/>
  <c r="FT110" i="1"/>
  <c r="FU110" i="1"/>
  <c r="FV110" i="1"/>
  <c r="FW110" i="1"/>
  <c r="FX110" i="1"/>
  <c r="FY110" i="1"/>
  <c r="FZ110" i="1"/>
  <c r="GA110" i="1"/>
  <c r="GB110" i="1"/>
  <c r="GC110" i="1"/>
  <c r="GD110" i="1"/>
  <c r="GE110" i="1"/>
  <c r="GF110" i="1"/>
  <c r="GG110" i="1"/>
  <c r="GH110" i="1"/>
  <c r="GI110" i="1"/>
  <c r="GJ110" i="1"/>
  <c r="GK110" i="1"/>
  <c r="GL110" i="1"/>
  <c r="GM110" i="1"/>
  <c r="GN110" i="1"/>
  <c r="GO110" i="1"/>
  <c r="GP110" i="1"/>
  <c r="GQ110" i="1"/>
  <c r="GR110" i="1"/>
  <c r="GS110" i="1"/>
  <c r="GT110" i="1"/>
  <c r="GU110" i="1"/>
  <c r="GV110" i="1"/>
  <c r="GW110" i="1"/>
  <c r="GX110" i="1"/>
  <c r="D112" i="1"/>
  <c r="I112" i="1"/>
  <c r="K112" i="1"/>
  <c r="AC112" i="1"/>
  <c r="CQ112" i="1" s="1"/>
  <c r="P112" i="1" s="1"/>
  <c r="AD112" i="1"/>
  <c r="AE112" i="1"/>
  <c r="AF112" i="1"/>
  <c r="CT112" i="1" s="1"/>
  <c r="S112" i="1" s="1"/>
  <c r="AG112" i="1"/>
  <c r="AH112" i="1"/>
  <c r="CV112" i="1" s="1"/>
  <c r="AI112" i="1"/>
  <c r="AJ112" i="1"/>
  <c r="CX112" i="1" s="1"/>
  <c r="W112" i="1" s="1"/>
  <c r="CU112" i="1"/>
  <c r="T112" i="1" s="1"/>
  <c r="CW112" i="1"/>
  <c r="V112" i="1" s="1"/>
  <c r="FR112" i="1"/>
  <c r="GL112" i="1"/>
  <c r="GN112" i="1"/>
  <c r="GO112" i="1"/>
  <c r="GV112" i="1"/>
  <c r="HC112" i="1" s="1"/>
  <c r="D113" i="1"/>
  <c r="I113" i="1"/>
  <c r="K113" i="1"/>
  <c r="P113" i="1"/>
  <c r="Q113" i="1"/>
  <c r="T113" i="1"/>
  <c r="AC113" i="1"/>
  <c r="AE113" i="1"/>
  <c r="CS113" i="1" s="1"/>
  <c r="AF113" i="1"/>
  <c r="CT113" i="1" s="1"/>
  <c r="AG113" i="1"/>
  <c r="CU113" i="1" s="1"/>
  <c r="AH113" i="1"/>
  <c r="CV113" i="1" s="1"/>
  <c r="U113" i="1" s="1"/>
  <c r="AI113" i="1"/>
  <c r="CW113" i="1" s="1"/>
  <c r="V113" i="1" s="1"/>
  <c r="AJ113" i="1"/>
  <c r="CX113" i="1" s="1"/>
  <c r="CQ113" i="1"/>
  <c r="CR113" i="1"/>
  <c r="FR113" i="1"/>
  <c r="GL113" i="1"/>
  <c r="GN113" i="1"/>
  <c r="GO113" i="1"/>
  <c r="GV113" i="1"/>
  <c r="HC113" i="1"/>
  <c r="GX113" i="1" s="1"/>
  <c r="D114" i="1"/>
  <c r="I114" i="1"/>
  <c r="K114" i="1"/>
  <c r="AC114" i="1"/>
  <c r="CQ114" i="1" s="1"/>
  <c r="AE114" i="1"/>
  <c r="AF114" i="1"/>
  <c r="CT114" i="1" s="1"/>
  <c r="AG114" i="1"/>
  <c r="CU114" i="1" s="1"/>
  <c r="AH114" i="1"/>
  <c r="AI114" i="1"/>
  <c r="AJ114" i="1"/>
  <c r="CX114" i="1" s="1"/>
  <c r="CV114" i="1"/>
  <c r="U114" i="1" s="1"/>
  <c r="CW114" i="1"/>
  <c r="V114" i="1" s="1"/>
  <c r="FR114" i="1"/>
  <c r="GL114" i="1"/>
  <c r="GN114" i="1"/>
  <c r="GO114" i="1"/>
  <c r="GV114" i="1"/>
  <c r="HC114" i="1" s="1"/>
  <c r="D115" i="1"/>
  <c r="I115" i="1"/>
  <c r="K115" i="1"/>
  <c r="S115" i="1"/>
  <c r="T115" i="1"/>
  <c r="AC115" i="1"/>
  <c r="AE115" i="1"/>
  <c r="AF115" i="1"/>
  <c r="CT115" i="1" s="1"/>
  <c r="AG115" i="1"/>
  <c r="CU115" i="1" s="1"/>
  <c r="AH115" i="1"/>
  <c r="CV115" i="1" s="1"/>
  <c r="AI115" i="1"/>
  <c r="CW115" i="1" s="1"/>
  <c r="AJ115" i="1"/>
  <c r="CX115" i="1" s="1"/>
  <c r="W115" i="1" s="1"/>
  <c r="CQ115" i="1"/>
  <c r="P115" i="1" s="1"/>
  <c r="FR115" i="1"/>
  <c r="GL115" i="1"/>
  <c r="GN115" i="1"/>
  <c r="GO115" i="1"/>
  <c r="GV115" i="1"/>
  <c r="HC115" i="1" s="1"/>
  <c r="GX115" i="1"/>
  <c r="D116" i="1"/>
  <c r="I116" i="1"/>
  <c r="K116" i="1"/>
  <c r="U116" i="1"/>
  <c r="V116" i="1"/>
  <c r="X116" i="1"/>
  <c r="AC116" i="1"/>
  <c r="CQ116" i="1" s="1"/>
  <c r="P116" i="1" s="1"/>
  <c r="AE116" i="1"/>
  <c r="AF116" i="1"/>
  <c r="CT116" i="1" s="1"/>
  <c r="S116" i="1" s="1"/>
  <c r="CZ116" i="1" s="1"/>
  <c r="Y116" i="1" s="1"/>
  <c r="AG116" i="1"/>
  <c r="CU116" i="1" s="1"/>
  <c r="T116" i="1" s="1"/>
  <c r="AH116" i="1"/>
  <c r="CV116" i="1" s="1"/>
  <c r="AI116" i="1"/>
  <c r="CW116" i="1" s="1"/>
  <c r="AJ116" i="1"/>
  <c r="CR116" i="1"/>
  <c r="Q116" i="1" s="1"/>
  <c r="CX116" i="1"/>
  <c r="W116" i="1" s="1"/>
  <c r="CY116" i="1"/>
  <c r="FR116" i="1"/>
  <c r="GL116" i="1"/>
  <c r="GN116" i="1"/>
  <c r="GO116" i="1"/>
  <c r="GV116" i="1"/>
  <c r="HC116" i="1" s="1"/>
  <c r="GX116" i="1" s="1"/>
  <c r="D117" i="1"/>
  <c r="I117" i="1"/>
  <c r="K117" i="1"/>
  <c r="AC117" i="1"/>
  <c r="CQ117" i="1" s="1"/>
  <c r="P117" i="1" s="1"/>
  <c r="AE117" i="1"/>
  <c r="AF117" i="1"/>
  <c r="AG117" i="1"/>
  <c r="CU117" i="1" s="1"/>
  <c r="AH117" i="1"/>
  <c r="CV117" i="1" s="1"/>
  <c r="AI117" i="1"/>
  <c r="AJ117" i="1"/>
  <c r="CS117" i="1"/>
  <c r="CW117" i="1"/>
  <c r="V117" i="1" s="1"/>
  <c r="CX117" i="1"/>
  <c r="FR117" i="1"/>
  <c r="GL117" i="1"/>
  <c r="GN117" i="1"/>
  <c r="GO117" i="1"/>
  <c r="GV117" i="1"/>
  <c r="HC117" i="1" s="1"/>
  <c r="GX117" i="1" s="1"/>
  <c r="D118" i="1"/>
  <c r="I118" i="1"/>
  <c r="K118" i="1"/>
  <c r="AC118" i="1"/>
  <c r="CQ118" i="1" s="1"/>
  <c r="AE118" i="1"/>
  <c r="AF118" i="1"/>
  <c r="AG118" i="1"/>
  <c r="CU118" i="1" s="1"/>
  <c r="T118" i="1" s="1"/>
  <c r="AH118" i="1"/>
  <c r="CV118" i="1" s="1"/>
  <c r="U118" i="1" s="1"/>
  <c r="AI118" i="1"/>
  <c r="CW118" i="1" s="1"/>
  <c r="AJ118" i="1"/>
  <c r="CX118" i="1" s="1"/>
  <c r="FR118" i="1"/>
  <c r="GL118" i="1"/>
  <c r="GN118" i="1"/>
  <c r="GO118" i="1"/>
  <c r="GV118" i="1"/>
  <c r="HC118" i="1" s="1"/>
  <c r="GX118" i="1" s="1"/>
  <c r="D119" i="1"/>
  <c r="I119" i="1"/>
  <c r="K119" i="1"/>
  <c r="W119" i="1"/>
  <c r="AC119" i="1"/>
  <c r="CQ119" i="1" s="1"/>
  <c r="P119" i="1" s="1"/>
  <c r="AE119" i="1"/>
  <c r="AD119" i="1" s="1"/>
  <c r="AF119" i="1"/>
  <c r="AG119" i="1"/>
  <c r="CU119" i="1" s="1"/>
  <c r="T119" i="1" s="1"/>
  <c r="AH119" i="1"/>
  <c r="AI119" i="1"/>
  <c r="AJ119" i="1"/>
  <c r="CX119" i="1" s="1"/>
  <c r="CV119" i="1"/>
  <c r="U119" i="1" s="1"/>
  <c r="CW119" i="1"/>
  <c r="V119" i="1" s="1"/>
  <c r="FR119" i="1"/>
  <c r="GL119" i="1"/>
  <c r="GN119" i="1"/>
  <c r="GO119" i="1"/>
  <c r="GV119" i="1"/>
  <c r="HC119" i="1" s="1"/>
  <c r="GX119" i="1" s="1"/>
  <c r="D120" i="1"/>
  <c r="I120" i="1"/>
  <c r="K120" i="1"/>
  <c r="AC120" i="1"/>
  <c r="AE120" i="1"/>
  <c r="AF120" i="1"/>
  <c r="AG120" i="1"/>
  <c r="CU120" i="1" s="1"/>
  <c r="T120" i="1" s="1"/>
  <c r="AH120" i="1"/>
  <c r="CV120" i="1" s="1"/>
  <c r="U120" i="1" s="1"/>
  <c r="AI120" i="1"/>
  <c r="CW120" i="1" s="1"/>
  <c r="V120" i="1" s="1"/>
  <c r="AJ120" i="1"/>
  <c r="CX120" i="1" s="1"/>
  <c r="W120" i="1" s="1"/>
  <c r="FR120" i="1"/>
  <c r="GL120" i="1"/>
  <c r="GN120" i="1"/>
  <c r="GO120" i="1"/>
  <c r="GV120" i="1"/>
  <c r="HC120" i="1"/>
  <c r="D121" i="1"/>
  <c r="I121" i="1"/>
  <c r="K121" i="1"/>
  <c r="V121" i="1"/>
  <c r="AC121" i="1"/>
  <c r="CQ121" i="1" s="1"/>
  <c r="P121" i="1" s="1"/>
  <c r="AE121" i="1"/>
  <c r="AF121" i="1"/>
  <c r="AG121" i="1"/>
  <c r="CU121" i="1" s="1"/>
  <c r="T121" i="1" s="1"/>
  <c r="AH121" i="1"/>
  <c r="CV121" i="1" s="1"/>
  <c r="U121" i="1" s="1"/>
  <c r="AI121" i="1"/>
  <c r="AJ121" i="1"/>
  <c r="CW121" i="1"/>
  <c r="CX121" i="1"/>
  <c r="FR121" i="1"/>
  <c r="GL121" i="1"/>
  <c r="GN121" i="1"/>
  <c r="GO121" i="1"/>
  <c r="GV121" i="1"/>
  <c r="HC121" i="1" s="1"/>
  <c r="GX121" i="1" s="1"/>
  <c r="C122" i="1"/>
  <c r="D122" i="1"/>
  <c r="I122" i="1"/>
  <c r="K122" i="1"/>
  <c r="AC122" i="1"/>
  <c r="AE122" i="1"/>
  <c r="AF122" i="1"/>
  <c r="CT122" i="1" s="1"/>
  <c r="AG122" i="1"/>
  <c r="CU122" i="1" s="1"/>
  <c r="T122" i="1" s="1"/>
  <c r="AH122" i="1"/>
  <c r="CV122" i="1" s="1"/>
  <c r="U122" i="1" s="1"/>
  <c r="AI122" i="1"/>
  <c r="CW122" i="1" s="1"/>
  <c r="AJ122" i="1"/>
  <c r="CX122" i="1" s="1"/>
  <c r="CQ122" i="1"/>
  <c r="FR122" i="1"/>
  <c r="GL122" i="1"/>
  <c r="GN122" i="1"/>
  <c r="GO122" i="1"/>
  <c r="GV122" i="1"/>
  <c r="HC122" i="1" s="1"/>
  <c r="GX122" i="1" s="1"/>
  <c r="B124" i="1"/>
  <c r="C124" i="1"/>
  <c r="D124" i="1"/>
  <c r="D110" i="1" s="1"/>
  <c r="F124" i="1"/>
  <c r="F110" i="1" s="1"/>
  <c r="G124" i="1"/>
  <c r="AO124" i="1"/>
  <c r="AO110" i="1" s="1"/>
  <c r="BB124" i="1"/>
  <c r="BX124" i="1"/>
  <c r="BX110" i="1" s="1"/>
  <c r="CK124" i="1"/>
  <c r="CL124" i="1"/>
  <c r="CL110" i="1" s="1"/>
  <c r="CM124" i="1"/>
  <c r="BD124" i="1" s="1"/>
  <c r="F128" i="1"/>
  <c r="D154" i="1"/>
  <c r="E156" i="1"/>
  <c r="Z156" i="1"/>
  <c r="AA156" i="1"/>
  <c r="AM156" i="1"/>
  <c r="AN156" i="1"/>
  <c r="AQ156" i="1"/>
  <c r="AR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W156" i="1"/>
  <c r="BY156" i="1"/>
  <c r="BZ156" i="1"/>
  <c r="CA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EG156" i="1"/>
  <c r="EH156" i="1"/>
  <c r="EI156" i="1"/>
  <c r="EJ156" i="1"/>
  <c r="EK156" i="1"/>
  <c r="EL156" i="1"/>
  <c r="EM156" i="1"/>
  <c r="EN156" i="1"/>
  <c r="EO156" i="1"/>
  <c r="EP156" i="1"/>
  <c r="EQ156" i="1"/>
  <c r="ER156" i="1"/>
  <c r="ES156" i="1"/>
  <c r="ET156" i="1"/>
  <c r="EU156" i="1"/>
  <c r="EV156" i="1"/>
  <c r="EW156" i="1"/>
  <c r="EX156" i="1"/>
  <c r="EY156" i="1"/>
  <c r="EZ156" i="1"/>
  <c r="FA156" i="1"/>
  <c r="FB156" i="1"/>
  <c r="FC156" i="1"/>
  <c r="FD156" i="1"/>
  <c r="FE156" i="1"/>
  <c r="FF156" i="1"/>
  <c r="FG156" i="1"/>
  <c r="FH156" i="1"/>
  <c r="FI156" i="1"/>
  <c r="FJ156" i="1"/>
  <c r="FK156" i="1"/>
  <c r="FL156" i="1"/>
  <c r="FM156" i="1"/>
  <c r="FN156" i="1"/>
  <c r="FO156" i="1"/>
  <c r="FP156" i="1"/>
  <c r="FQ156" i="1"/>
  <c r="FR156" i="1"/>
  <c r="FS156" i="1"/>
  <c r="FT156" i="1"/>
  <c r="FU156" i="1"/>
  <c r="FV156" i="1"/>
  <c r="FW156" i="1"/>
  <c r="FX156" i="1"/>
  <c r="FY156" i="1"/>
  <c r="FZ156" i="1"/>
  <c r="GA156" i="1"/>
  <c r="GB156" i="1"/>
  <c r="GC156" i="1"/>
  <c r="GD156" i="1"/>
  <c r="GE156" i="1"/>
  <c r="GF156" i="1"/>
  <c r="GG156" i="1"/>
  <c r="GH156" i="1"/>
  <c r="GI156" i="1"/>
  <c r="GJ156" i="1"/>
  <c r="GK156" i="1"/>
  <c r="GL156" i="1"/>
  <c r="GM156" i="1"/>
  <c r="GN156" i="1"/>
  <c r="GO156" i="1"/>
  <c r="GP156" i="1"/>
  <c r="GQ156" i="1"/>
  <c r="GR156" i="1"/>
  <c r="GS156" i="1"/>
  <c r="GT156" i="1"/>
  <c r="GU156" i="1"/>
  <c r="GV156" i="1"/>
  <c r="GW156" i="1"/>
  <c r="GX156" i="1"/>
  <c r="D158" i="1"/>
  <c r="I158" i="1"/>
  <c r="K158" i="1"/>
  <c r="AC158" i="1"/>
  <c r="AE158" i="1"/>
  <c r="AD158" i="1" s="1"/>
  <c r="AB158" i="1" s="1"/>
  <c r="AF158" i="1"/>
  <c r="AG158" i="1"/>
  <c r="AH158" i="1"/>
  <c r="CV158" i="1" s="1"/>
  <c r="U158" i="1" s="1"/>
  <c r="AI158" i="1"/>
  <c r="AJ158" i="1"/>
  <c r="CX158" i="1" s="1"/>
  <c r="W158" i="1" s="1"/>
  <c r="CQ158" i="1"/>
  <c r="P158" i="1" s="1"/>
  <c r="CS158" i="1"/>
  <c r="R158" i="1" s="1"/>
  <c r="GK158" i="1" s="1"/>
  <c r="CT158" i="1"/>
  <c r="S158" i="1" s="1"/>
  <c r="CU158" i="1"/>
  <c r="T158" i="1" s="1"/>
  <c r="CW158" i="1"/>
  <c r="V158" i="1" s="1"/>
  <c r="FR158" i="1"/>
  <c r="GL158" i="1"/>
  <c r="GN158" i="1"/>
  <c r="GO158" i="1"/>
  <c r="GV158" i="1"/>
  <c r="HC158" i="1" s="1"/>
  <c r="GX158" i="1"/>
  <c r="D159" i="1"/>
  <c r="I159" i="1"/>
  <c r="K159" i="1"/>
  <c r="AC159" i="1"/>
  <c r="AE159" i="1"/>
  <c r="AF159" i="1"/>
  <c r="CT159" i="1" s="1"/>
  <c r="AG159" i="1"/>
  <c r="CU159" i="1" s="1"/>
  <c r="T159" i="1" s="1"/>
  <c r="AH159" i="1"/>
  <c r="CV159" i="1" s="1"/>
  <c r="U159" i="1" s="1"/>
  <c r="AI159" i="1"/>
  <c r="AJ159" i="1"/>
  <c r="CX159" i="1" s="1"/>
  <c r="W159" i="1" s="1"/>
  <c r="CW159" i="1"/>
  <c r="V159" i="1" s="1"/>
  <c r="FR159" i="1"/>
  <c r="GL159" i="1"/>
  <c r="GN159" i="1"/>
  <c r="GO159" i="1"/>
  <c r="GV159" i="1"/>
  <c r="HC159" i="1"/>
  <c r="GX159" i="1" s="1"/>
  <c r="C160" i="1"/>
  <c r="D160" i="1"/>
  <c r="I160" i="1"/>
  <c r="CU8" i="3" s="1"/>
  <c r="K160" i="1"/>
  <c r="AC160" i="1"/>
  <c r="CQ160" i="1" s="1"/>
  <c r="AE160" i="1"/>
  <c r="AF160" i="1"/>
  <c r="AG160" i="1"/>
  <c r="CU160" i="1" s="1"/>
  <c r="AH160" i="1"/>
  <c r="AI160" i="1"/>
  <c r="CW160" i="1" s="1"/>
  <c r="V160" i="1" s="1"/>
  <c r="AJ160" i="1"/>
  <c r="CX160" i="1" s="1"/>
  <c r="W160" i="1" s="1"/>
  <c r="CT160" i="1"/>
  <c r="S160" i="1" s="1"/>
  <c r="CV160" i="1"/>
  <c r="U160" i="1" s="1"/>
  <c r="FR160" i="1"/>
  <c r="GL160" i="1"/>
  <c r="GN160" i="1"/>
  <c r="GO160" i="1"/>
  <c r="GV160" i="1"/>
  <c r="HC160" i="1"/>
  <c r="GX160" i="1" s="1"/>
  <c r="B162" i="1"/>
  <c r="B156" i="1" s="1"/>
  <c r="C162" i="1"/>
  <c r="C156" i="1" s="1"/>
  <c r="D162" i="1"/>
  <c r="D156" i="1" s="1"/>
  <c r="F162" i="1"/>
  <c r="F156" i="1" s="1"/>
  <c r="G162" i="1"/>
  <c r="G156" i="1" s="1"/>
  <c r="AB162" i="1"/>
  <c r="AC162" i="1"/>
  <c r="AD162" i="1"/>
  <c r="AE162" i="1"/>
  <c r="AF162" i="1"/>
  <c r="AG162" i="1"/>
  <c r="AH162" i="1"/>
  <c r="AI162" i="1"/>
  <c r="AJ162" i="1"/>
  <c r="AK162" i="1"/>
  <c r="AL162" i="1"/>
  <c r="BX162" i="1"/>
  <c r="AO162" i="1" s="1"/>
  <c r="AO156" i="1" s="1"/>
  <c r="BY162" i="1"/>
  <c r="BZ162" i="1"/>
  <c r="AQ162" i="1" s="1"/>
  <c r="F172" i="1" s="1"/>
  <c r="CA162" i="1"/>
  <c r="AR162" i="1" s="1"/>
  <c r="F190" i="1" s="1"/>
  <c r="CB162" i="1"/>
  <c r="CB156" i="1" s="1"/>
  <c r="CC162" i="1"/>
  <c r="CC156" i="1" s="1"/>
  <c r="CD162" i="1"/>
  <c r="CD156" i="1" s="1"/>
  <c r="CJ162" i="1"/>
  <c r="CJ156" i="1" s="1"/>
  <c r="CK162" i="1"/>
  <c r="CL162" i="1"/>
  <c r="CM162" i="1"/>
  <c r="D192" i="1"/>
  <c r="C194" i="1"/>
  <c r="E194" i="1"/>
  <c r="Y194" i="1"/>
  <c r="Z194" i="1"/>
  <c r="AA194" i="1"/>
  <c r="AB194" i="1"/>
  <c r="AC194" i="1"/>
  <c r="AL194" i="1"/>
  <c r="AM194" i="1"/>
  <c r="AN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W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EG194" i="1"/>
  <c r="EH194" i="1"/>
  <c r="EI194" i="1"/>
  <c r="EJ194" i="1"/>
  <c r="EK194" i="1"/>
  <c r="EL194" i="1"/>
  <c r="EM194" i="1"/>
  <c r="EN194" i="1"/>
  <c r="EO194" i="1"/>
  <c r="EP194" i="1"/>
  <c r="EQ194" i="1"/>
  <c r="ER194" i="1"/>
  <c r="ES194" i="1"/>
  <c r="ET194" i="1"/>
  <c r="EU194" i="1"/>
  <c r="EV194" i="1"/>
  <c r="EW194" i="1"/>
  <c r="EX194" i="1"/>
  <c r="EY194" i="1"/>
  <c r="EZ194" i="1"/>
  <c r="FA194" i="1"/>
  <c r="FB194" i="1"/>
  <c r="FC194" i="1"/>
  <c r="FD194" i="1"/>
  <c r="FE194" i="1"/>
  <c r="FF194" i="1"/>
  <c r="FG194" i="1"/>
  <c r="FH194" i="1"/>
  <c r="FI194" i="1"/>
  <c r="FJ194" i="1"/>
  <c r="FK194" i="1"/>
  <c r="FL194" i="1"/>
  <c r="FM194" i="1"/>
  <c r="FN194" i="1"/>
  <c r="FO194" i="1"/>
  <c r="FP194" i="1"/>
  <c r="FQ194" i="1"/>
  <c r="FR194" i="1"/>
  <c r="FS194" i="1"/>
  <c r="FT194" i="1"/>
  <c r="FU194" i="1"/>
  <c r="FV194" i="1"/>
  <c r="FW194" i="1"/>
  <c r="FX194" i="1"/>
  <c r="FY194" i="1"/>
  <c r="FZ194" i="1"/>
  <c r="GA194" i="1"/>
  <c r="GB194" i="1"/>
  <c r="GC194" i="1"/>
  <c r="GD194" i="1"/>
  <c r="GE194" i="1"/>
  <c r="GF194" i="1"/>
  <c r="GG194" i="1"/>
  <c r="GH194" i="1"/>
  <c r="GI194" i="1"/>
  <c r="GJ194" i="1"/>
  <c r="GK194" i="1"/>
  <c r="GL194" i="1"/>
  <c r="GM194" i="1"/>
  <c r="GN194" i="1"/>
  <c r="GO194" i="1"/>
  <c r="GP194" i="1"/>
  <c r="GQ194" i="1"/>
  <c r="GR194" i="1"/>
  <c r="GS194" i="1"/>
  <c r="GT194" i="1"/>
  <c r="GU194" i="1"/>
  <c r="GV194" i="1"/>
  <c r="GW194" i="1"/>
  <c r="GX194" i="1"/>
  <c r="D196" i="1"/>
  <c r="I196" i="1"/>
  <c r="V196" i="1" s="1"/>
  <c r="K196" i="1"/>
  <c r="W196" i="1"/>
  <c r="AC196" i="1"/>
  <c r="CQ196" i="1" s="1"/>
  <c r="P196" i="1" s="1"/>
  <c r="AE196" i="1"/>
  <c r="AD196" i="1" s="1"/>
  <c r="AF196" i="1"/>
  <c r="AG196" i="1"/>
  <c r="AH196" i="1"/>
  <c r="AI196" i="1"/>
  <c r="CW196" i="1" s="1"/>
  <c r="AJ196" i="1"/>
  <c r="CX196" i="1" s="1"/>
  <c r="CR196" i="1"/>
  <c r="Q196" i="1" s="1"/>
  <c r="CS196" i="1"/>
  <c r="R196" i="1" s="1"/>
  <c r="GK196" i="1" s="1"/>
  <c r="CT196" i="1"/>
  <c r="S196" i="1" s="1"/>
  <c r="CU196" i="1"/>
  <c r="T196" i="1" s="1"/>
  <c r="CV196" i="1"/>
  <c r="U196" i="1" s="1"/>
  <c r="FR196" i="1"/>
  <c r="GL196" i="1"/>
  <c r="GN196" i="1"/>
  <c r="GO196" i="1"/>
  <c r="GV196" i="1"/>
  <c r="HC196" i="1"/>
  <c r="GX196" i="1" s="1"/>
  <c r="C197" i="1"/>
  <c r="D197" i="1"/>
  <c r="I197" i="1"/>
  <c r="K197" i="1"/>
  <c r="AC197" i="1"/>
  <c r="CQ197" i="1" s="1"/>
  <c r="P197" i="1" s="1"/>
  <c r="AE197" i="1"/>
  <c r="AF197" i="1"/>
  <c r="AG197" i="1"/>
  <c r="CU197" i="1" s="1"/>
  <c r="AH197" i="1"/>
  <c r="AI197" i="1"/>
  <c r="AJ197" i="1"/>
  <c r="CT197" i="1"/>
  <c r="CV197" i="1"/>
  <c r="CW197" i="1"/>
  <c r="CX197" i="1"/>
  <c r="FR197" i="1"/>
  <c r="GL197" i="1"/>
  <c r="GN197" i="1"/>
  <c r="GO197" i="1"/>
  <c r="GV197" i="1"/>
  <c r="HC197" i="1" s="1"/>
  <c r="B199" i="1"/>
  <c r="B194" i="1" s="1"/>
  <c r="C199" i="1"/>
  <c r="D199" i="1"/>
  <c r="D194" i="1" s="1"/>
  <c r="F199" i="1"/>
  <c r="F194" i="1" s="1"/>
  <c r="G199" i="1"/>
  <c r="G194" i="1" s="1"/>
  <c r="O199" i="1"/>
  <c r="Q199" i="1"/>
  <c r="Q194" i="1" s="1"/>
  <c r="AB199" i="1"/>
  <c r="AC199" i="1"/>
  <c r="P199" i="1" s="1"/>
  <c r="P194" i="1" s="1"/>
  <c r="AD199" i="1"/>
  <c r="AD194" i="1" s="1"/>
  <c r="AE199" i="1"/>
  <c r="AF199" i="1"/>
  <c r="AG199" i="1"/>
  <c r="T199" i="1" s="1"/>
  <c r="AH199" i="1"/>
  <c r="AI199" i="1"/>
  <c r="AJ199" i="1"/>
  <c r="AK199" i="1"/>
  <c r="AL199" i="1"/>
  <c r="Y199" i="1" s="1"/>
  <c r="AQ199" i="1"/>
  <c r="AQ194" i="1" s="1"/>
  <c r="AR199" i="1"/>
  <c r="AS199" i="1"/>
  <c r="BB199" i="1"/>
  <c r="BX199" i="1"/>
  <c r="AO199" i="1" s="1"/>
  <c r="BY199" i="1"/>
  <c r="BZ199" i="1"/>
  <c r="BZ194" i="1" s="1"/>
  <c r="CA199" i="1"/>
  <c r="CA194" i="1" s="1"/>
  <c r="CB199" i="1"/>
  <c r="CB194" i="1" s="1"/>
  <c r="CC199" i="1"/>
  <c r="CD199" i="1"/>
  <c r="CD194" i="1" s="1"/>
  <c r="CF199" i="1"/>
  <c r="CG199" i="1"/>
  <c r="CH199" i="1"/>
  <c r="CI199" i="1"/>
  <c r="CJ199" i="1"/>
  <c r="BA199" i="1" s="1"/>
  <c r="BA194" i="1" s="1"/>
  <c r="CK199" i="1"/>
  <c r="CK194" i="1" s="1"/>
  <c r="CL199" i="1"/>
  <c r="CM199" i="1"/>
  <c r="BD199" i="1" s="1"/>
  <c r="F202" i="1"/>
  <c r="F209" i="1"/>
  <c r="F211" i="1"/>
  <c r="F226" i="1"/>
  <c r="D229" i="1"/>
  <c r="E231" i="1"/>
  <c r="Y231" i="1"/>
  <c r="Z231" i="1"/>
  <c r="AA231" i="1"/>
  <c r="AL231" i="1"/>
  <c r="AM231" i="1"/>
  <c r="AN231" i="1"/>
  <c r="BE231" i="1"/>
  <c r="BF231" i="1"/>
  <c r="BG231" i="1"/>
  <c r="BH231" i="1"/>
  <c r="BI231" i="1"/>
  <c r="BJ231" i="1"/>
  <c r="BK231" i="1"/>
  <c r="BL231" i="1"/>
  <c r="BM231" i="1"/>
  <c r="BN231" i="1"/>
  <c r="BO231" i="1"/>
  <c r="BP231" i="1"/>
  <c r="BQ231" i="1"/>
  <c r="BR231" i="1"/>
  <c r="BS231" i="1"/>
  <c r="BT231" i="1"/>
  <c r="BU231" i="1"/>
  <c r="BV231" i="1"/>
  <c r="BW231" i="1"/>
  <c r="CB231" i="1"/>
  <c r="CC231" i="1"/>
  <c r="CK231" i="1"/>
  <c r="CL231" i="1"/>
  <c r="CN231" i="1"/>
  <c r="CO231" i="1"/>
  <c r="CP231" i="1"/>
  <c r="CQ231" i="1"/>
  <c r="CR231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DG231" i="1"/>
  <c r="DH231" i="1"/>
  <c r="DI231" i="1"/>
  <c r="DJ231" i="1"/>
  <c r="DK231" i="1"/>
  <c r="DL231" i="1"/>
  <c r="DM231" i="1"/>
  <c r="DN231" i="1"/>
  <c r="DO231" i="1"/>
  <c r="DP231" i="1"/>
  <c r="DQ231" i="1"/>
  <c r="DR231" i="1"/>
  <c r="DS231" i="1"/>
  <c r="DT231" i="1"/>
  <c r="DU231" i="1"/>
  <c r="DV231" i="1"/>
  <c r="DW231" i="1"/>
  <c r="DX231" i="1"/>
  <c r="DY231" i="1"/>
  <c r="DZ231" i="1"/>
  <c r="EA231" i="1"/>
  <c r="EB231" i="1"/>
  <c r="EC231" i="1"/>
  <c r="ED231" i="1"/>
  <c r="EE231" i="1"/>
  <c r="EF231" i="1"/>
  <c r="EG231" i="1"/>
  <c r="EH231" i="1"/>
  <c r="EI231" i="1"/>
  <c r="EJ231" i="1"/>
  <c r="EK231" i="1"/>
  <c r="EL231" i="1"/>
  <c r="EM231" i="1"/>
  <c r="EN231" i="1"/>
  <c r="EO231" i="1"/>
  <c r="EP231" i="1"/>
  <c r="EQ231" i="1"/>
  <c r="ER231" i="1"/>
  <c r="ES231" i="1"/>
  <c r="ET231" i="1"/>
  <c r="EU231" i="1"/>
  <c r="EV231" i="1"/>
  <c r="EW231" i="1"/>
  <c r="EX231" i="1"/>
  <c r="EY231" i="1"/>
  <c r="EZ231" i="1"/>
  <c r="FA231" i="1"/>
  <c r="FB231" i="1"/>
  <c r="FC231" i="1"/>
  <c r="FD231" i="1"/>
  <c r="FE231" i="1"/>
  <c r="FF231" i="1"/>
  <c r="FG231" i="1"/>
  <c r="FH231" i="1"/>
  <c r="FI231" i="1"/>
  <c r="FJ231" i="1"/>
  <c r="FK231" i="1"/>
  <c r="FL231" i="1"/>
  <c r="FM231" i="1"/>
  <c r="FN231" i="1"/>
  <c r="FO231" i="1"/>
  <c r="FP231" i="1"/>
  <c r="FQ231" i="1"/>
  <c r="FR231" i="1"/>
  <c r="FS231" i="1"/>
  <c r="FT231" i="1"/>
  <c r="FU231" i="1"/>
  <c r="FV231" i="1"/>
  <c r="FW231" i="1"/>
  <c r="FX231" i="1"/>
  <c r="FY231" i="1"/>
  <c r="FZ231" i="1"/>
  <c r="GA231" i="1"/>
  <c r="GB231" i="1"/>
  <c r="GC231" i="1"/>
  <c r="GD231" i="1"/>
  <c r="GE231" i="1"/>
  <c r="GF231" i="1"/>
  <c r="GG231" i="1"/>
  <c r="GH231" i="1"/>
  <c r="GI231" i="1"/>
  <c r="GJ231" i="1"/>
  <c r="GK231" i="1"/>
  <c r="GL231" i="1"/>
  <c r="GM231" i="1"/>
  <c r="GN231" i="1"/>
  <c r="GO231" i="1"/>
  <c r="GP231" i="1"/>
  <c r="GQ231" i="1"/>
  <c r="GR231" i="1"/>
  <c r="GS231" i="1"/>
  <c r="GT231" i="1"/>
  <c r="GU231" i="1"/>
  <c r="GV231" i="1"/>
  <c r="GW231" i="1"/>
  <c r="GX231" i="1"/>
  <c r="C233" i="1"/>
  <c r="D233" i="1"/>
  <c r="I233" i="1"/>
  <c r="CU10" i="3" s="1"/>
  <c r="K233" i="1"/>
  <c r="AC233" i="1"/>
  <c r="AE233" i="1"/>
  <c r="AD233" i="1" s="1"/>
  <c r="AF233" i="1"/>
  <c r="AG233" i="1"/>
  <c r="CU233" i="1" s="1"/>
  <c r="AH233" i="1"/>
  <c r="CV233" i="1" s="1"/>
  <c r="AI233" i="1"/>
  <c r="CW233" i="1" s="1"/>
  <c r="AJ233" i="1"/>
  <c r="CX233" i="1" s="1"/>
  <c r="W233" i="1" s="1"/>
  <c r="CR233" i="1"/>
  <c r="Q233" i="1" s="1"/>
  <c r="CS233" i="1"/>
  <c r="CT233" i="1"/>
  <c r="FR233" i="1"/>
  <c r="GL233" i="1"/>
  <c r="GN233" i="1"/>
  <c r="GO233" i="1"/>
  <c r="GV233" i="1"/>
  <c r="HC233" i="1"/>
  <c r="GX233" i="1" s="1"/>
  <c r="B235" i="1"/>
  <c r="B231" i="1" s="1"/>
  <c r="C235" i="1"/>
  <c r="C231" i="1" s="1"/>
  <c r="D235" i="1"/>
  <c r="D231" i="1" s="1"/>
  <c r="F235" i="1"/>
  <c r="F231" i="1" s="1"/>
  <c r="G235" i="1"/>
  <c r="G231" i="1" s="1"/>
  <c r="O235" i="1"/>
  <c r="Y235" i="1"/>
  <c r="AB235" i="1"/>
  <c r="AB231" i="1" s="1"/>
  <c r="AC235" i="1"/>
  <c r="AD235" i="1"/>
  <c r="Q235" i="1" s="1"/>
  <c r="Q231" i="1" s="1"/>
  <c r="AE235" i="1"/>
  <c r="AF235" i="1"/>
  <c r="AG235" i="1"/>
  <c r="AH235" i="1"/>
  <c r="AI235" i="1"/>
  <c r="AJ235" i="1"/>
  <c r="AK235" i="1"/>
  <c r="AL235" i="1"/>
  <c r="AS235" i="1"/>
  <c r="AT235" i="1"/>
  <c r="AU235" i="1"/>
  <c r="F254" i="1" s="1"/>
  <c r="BC235" i="1"/>
  <c r="BX235" i="1"/>
  <c r="BY235" i="1"/>
  <c r="BZ235" i="1"/>
  <c r="BZ231" i="1" s="1"/>
  <c r="CA235" i="1"/>
  <c r="CB235" i="1"/>
  <c r="CC235" i="1"/>
  <c r="CD235" i="1"/>
  <c r="CD231" i="1" s="1"/>
  <c r="CJ235" i="1"/>
  <c r="BA235" i="1" s="1"/>
  <c r="BA231" i="1" s="1"/>
  <c r="CK235" i="1"/>
  <c r="BB235" i="1" s="1"/>
  <c r="CL235" i="1"/>
  <c r="CM235" i="1"/>
  <c r="BD235" i="1" s="1"/>
  <c r="F247" i="1"/>
  <c r="F262" i="1"/>
  <c r="D265" i="1"/>
  <c r="E267" i="1"/>
  <c r="U267" i="1"/>
  <c r="V267" i="1"/>
  <c r="W267" i="1"/>
  <c r="Z267" i="1"/>
  <c r="AA267" i="1"/>
  <c r="AH267" i="1"/>
  <c r="AI267" i="1"/>
  <c r="AM267" i="1"/>
  <c r="AN267" i="1"/>
  <c r="BE267" i="1"/>
  <c r="BF267" i="1"/>
  <c r="BG267" i="1"/>
  <c r="BH267" i="1"/>
  <c r="BI267" i="1"/>
  <c r="BJ267" i="1"/>
  <c r="BK267" i="1"/>
  <c r="BL267" i="1"/>
  <c r="BM267" i="1"/>
  <c r="BN267" i="1"/>
  <c r="BO267" i="1"/>
  <c r="BP267" i="1"/>
  <c r="BQ267" i="1"/>
  <c r="BR267" i="1"/>
  <c r="BS267" i="1"/>
  <c r="BT267" i="1"/>
  <c r="BU267" i="1"/>
  <c r="BV267" i="1"/>
  <c r="BW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EG267" i="1"/>
  <c r="EH267" i="1"/>
  <c r="EI267" i="1"/>
  <c r="EJ267" i="1"/>
  <c r="EK267" i="1"/>
  <c r="EL267" i="1"/>
  <c r="EM267" i="1"/>
  <c r="EN267" i="1"/>
  <c r="EO267" i="1"/>
  <c r="EP267" i="1"/>
  <c r="EQ267" i="1"/>
  <c r="ER267" i="1"/>
  <c r="ES267" i="1"/>
  <c r="ET267" i="1"/>
  <c r="EU267" i="1"/>
  <c r="EV267" i="1"/>
  <c r="EW267" i="1"/>
  <c r="EX267" i="1"/>
  <c r="EY267" i="1"/>
  <c r="EZ267" i="1"/>
  <c r="FA267" i="1"/>
  <c r="FB267" i="1"/>
  <c r="FC267" i="1"/>
  <c r="FD267" i="1"/>
  <c r="FE267" i="1"/>
  <c r="FF267" i="1"/>
  <c r="FG267" i="1"/>
  <c r="FH267" i="1"/>
  <c r="FI267" i="1"/>
  <c r="FJ267" i="1"/>
  <c r="FK267" i="1"/>
  <c r="FL267" i="1"/>
  <c r="FM267" i="1"/>
  <c r="FN267" i="1"/>
  <c r="FO267" i="1"/>
  <c r="FP267" i="1"/>
  <c r="FQ267" i="1"/>
  <c r="FR267" i="1"/>
  <c r="FS267" i="1"/>
  <c r="FT267" i="1"/>
  <c r="FU267" i="1"/>
  <c r="FV267" i="1"/>
  <c r="FW267" i="1"/>
  <c r="FX267" i="1"/>
  <c r="FY267" i="1"/>
  <c r="FZ267" i="1"/>
  <c r="GA267" i="1"/>
  <c r="GB267" i="1"/>
  <c r="GC267" i="1"/>
  <c r="GD267" i="1"/>
  <c r="GE267" i="1"/>
  <c r="GF267" i="1"/>
  <c r="GG267" i="1"/>
  <c r="GH267" i="1"/>
  <c r="GI267" i="1"/>
  <c r="GJ267" i="1"/>
  <c r="GK267" i="1"/>
  <c r="GL267" i="1"/>
  <c r="GM267" i="1"/>
  <c r="GN267" i="1"/>
  <c r="GO267" i="1"/>
  <c r="GP267" i="1"/>
  <c r="GQ267" i="1"/>
  <c r="GR267" i="1"/>
  <c r="GS267" i="1"/>
  <c r="GT267" i="1"/>
  <c r="GU267" i="1"/>
  <c r="GV267" i="1"/>
  <c r="GW267" i="1"/>
  <c r="GX267" i="1"/>
  <c r="D269" i="1"/>
  <c r="I269" i="1"/>
  <c r="K269" i="1"/>
  <c r="AC269" i="1"/>
  <c r="AE269" i="1"/>
  <c r="AF269" i="1"/>
  <c r="CT269" i="1" s="1"/>
  <c r="AG269" i="1"/>
  <c r="CU269" i="1" s="1"/>
  <c r="T269" i="1" s="1"/>
  <c r="AH269" i="1"/>
  <c r="CV269" i="1" s="1"/>
  <c r="U269" i="1" s="1"/>
  <c r="AI269" i="1"/>
  <c r="CW269" i="1" s="1"/>
  <c r="V269" i="1" s="1"/>
  <c r="AJ269" i="1"/>
  <c r="CX269" i="1" s="1"/>
  <c r="CQ269" i="1"/>
  <c r="P269" i="1" s="1"/>
  <c r="FR269" i="1"/>
  <c r="GL269" i="1"/>
  <c r="GN269" i="1"/>
  <c r="GO269" i="1"/>
  <c r="GV269" i="1"/>
  <c r="HC269" i="1"/>
  <c r="C270" i="1"/>
  <c r="D270" i="1"/>
  <c r="I270" i="1"/>
  <c r="K270" i="1"/>
  <c r="AC270" i="1"/>
  <c r="AE270" i="1"/>
  <c r="AF270" i="1"/>
  <c r="AG270" i="1"/>
  <c r="CU270" i="1" s="1"/>
  <c r="AH270" i="1"/>
  <c r="CV270" i="1" s="1"/>
  <c r="U270" i="1" s="1"/>
  <c r="AI270" i="1"/>
  <c r="CW270" i="1" s="1"/>
  <c r="AJ270" i="1"/>
  <c r="CX270" i="1" s="1"/>
  <c r="W270" i="1" s="1"/>
  <c r="CT270" i="1"/>
  <c r="S270" i="1" s="1"/>
  <c r="FR270" i="1"/>
  <c r="GL270" i="1"/>
  <c r="GN270" i="1"/>
  <c r="GO270" i="1"/>
  <c r="GV270" i="1"/>
  <c r="HC270" i="1" s="1"/>
  <c r="D271" i="1"/>
  <c r="AC271" i="1"/>
  <c r="AE271" i="1"/>
  <c r="AD271" i="1" s="1"/>
  <c r="AF271" i="1"/>
  <c r="AG271" i="1"/>
  <c r="AH271" i="1"/>
  <c r="AI271" i="1"/>
  <c r="AJ271" i="1"/>
  <c r="CR271" i="1"/>
  <c r="Q271" i="1" s="1"/>
  <c r="CS271" i="1"/>
  <c r="R271" i="1" s="1"/>
  <c r="GK271" i="1" s="1"/>
  <c r="CT271" i="1"/>
  <c r="S271" i="1" s="1"/>
  <c r="CU271" i="1"/>
  <c r="T271" i="1" s="1"/>
  <c r="CV271" i="1"/>
  <c r="U271" i="1" s="1"/>
  <c r="CW271" i="1"/>
  <c r="V271" i="1" s="1"/>
  <c r="CX271" i="1"/>
  <c r="W271" i="1" s="1"/>
  <c r="FR271" i="1"/>
  <c r="GL271" i="1"/>
  <c r="GN271" i="1"/>
  <c r="GO271" i="1"/>
  <c r="GV271" i="1"/>
  <c r="HC271" i="1"/>
  <c r="GX271" i="1" s="1"/>
  <c r="B273" i="1"/>
  <c r="B267" i="1" s="1"/>
  <c r="C273" i="1"/>
  <c r="C267" i="1" s="1"/>
  <c r="D273" i="1"/>
  <c r="D267" i="1" s="1"/>
  <c r="F273" i="1"/>
  <c r="F267" i="1" s="1"/>
  <c r="G273" i="1"/>
  <c r="G267" i="1" s="1"/>
  <c r="U273" i="1"/>
  <c r="F295" i="1" s="1"/>
  <c r="V273" i="1"/>
  <c r="F296" i="1" s="1"/>
  <c r="W273" i="1"/>
  <c r="F297" i="1" s="1"/>
  <c r="X273" i="1"/>
  <c r="Y273" i="1"/>
  <c r="AB273" i="1"/>
  <c r="AB267" i="1" s="1"/>
  <c r="AC273" i="1"/>
  <c r="AD273" i="1"/>
  <c r="AE273" i="1"/>
  <c r="AF273" i="1"/>
  <c r="AG273" i="1"/>
  <c r="AH273" i="1"/>
  <c r="AI273" i="1"/>
  <c r="AJ273" i="1"/>
  <c r="AJ267" i="1" s="1"/>
  <c r="AK273" i="1"/>
  <c r="AK267" i="1" s="1"/>
  <c r="AL273" i="1"/>
  <c r="AL267" i="1" s="1"/>
  <c r="AS273" i="1"/>
  <c r="BX273" i="1"/>
  <c r="BX267" i="1" s="1"/>
  <c r="BY273" i="1"/>
  <c r="BZ273" i="1"/>
  <c r="CA273" i="1"/>
  <c r="CB273" i="1"/>
  <c r="CB267" i="1" s="1"/>
  <c r="CC273" i="1"/>
  <c r="CD273" i="1"/>
  <c r="CJ273" i="1"/>
  <c r="CJ267" i="1" s="1"/>
  <c r="CK273" i="1"/>
  <c r="CK267" i="1" s="1"/>
  <c r="CL273" i="1"/>
  <c r="CM273" i="1"/>
  <c r="B303" i="1"/>
  <c r="B26" i="1" s="1"/>
  <c r="C303" i="1"/>
  <c r="C26" i="1" s="1"/>
  <c r="D303" i="1"/>
  <c r="D26" i="1" s="1"/>
  <c r="F303" i="1"/>
  <c r="F26" i="1" s="1"/>
  <c r="G303" i="1"/>
  <c r="D333" i="1"/>
  <c r="B335" i="1"/>
  <c r="C335" i="1"/>
  <c r="E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BE335" i="1"/>
  <c r="BF335" i="1"/>
  <c r="BG335" i="1"/>
  <c r="BH335" i="1"/>
  <c r="BI335" i="1"/>
  <c r="BJ335" i="1"/>
  <c r="BK335" i="1"/>
  <c r="BL335" i="1"/>
  <c r="BM335" i="1"/>
  <c r="BN335" i="1"/>
  <c r="BO335" i="1"/>
  <c r="BP335" i="1"/>
  <c r="BQ335" i="1"/>
  <c r="BR335" i="1"/>
  <c r="BS335" i="1"/>
  <c r="BT335" i="1"/>
  <c r="BU335" i="1"/>
  <c r="BV335" i="1"/>
  <c r="BW335" i="1"/>
  <c r="BX335" i="1"/>
  <c r="BY335" i="1"/>
  <c r="BZ335" i="1"/>
  <c r="CA335" i="1"/>
  <c r="CB335" i="1"/>
  <c r="CC335" i="1"/>
  <c r="CD335" i="1"/>
  <c r="CE335" i="1"/>
  <c r="CF335" i="1"/>
  <c r="CG335" i="1"/>
  <c r="CH335" i="1"/>
  <c r="CI335" i="1"/>
  <c r="CJ335" i="1"/>
  <c r="CK335" i="1"/>
  <c r="CL335" i="1"/>
  <c r="CM335" i="1"/>
  <c r="CN335" i="1"/>
  <c r="CO335" i="1"/>
  <c r="CP335" i="1"/>
  <c r="CQ335" i="1"/>
  <c r="CR335" i="1"/>
  <c r="CS335" i="1"/>
  <c r="CT335" i="1"/>
  <c r="CU335" i="1"/>
  <c r="CV335" i="1"/>
  <c r="CW335" i="1"/>
  <c r="CX335" i="1"/>
  <c r="CY335" i="1"/>
  <c r="CZ335" i="1"/>
  <c r="DA335" i="1"/>
  <c r="DB335" i="1"/>
  <c r="DC335" i="1"/>
  <c r="DD335" i="1"/>
  <c r="DE335" i="1"/>
  <c r="DF335" i="1"/>
  <c r="DG335" i="1"/>
  <c r="DH335" i="1"/>
  <c r="DI335" i="1"/>
  <c r="DJ335" i="1"/>
  <c r="DK335" i="1"/>
  <c r="DL335" i="1"/>
  <c r="DM335" i="1"/>
  <c r="DN335" i="1"/>
  <c r="DO335" i="1"/>
  <c r="DP335" i="1"/>
  <c r="DQ335" i="1"/>
  <c r="DR335" i="1"/>
  <c r="DS335" i="1"/>
  <c r="DT335" i="1"/>
  <c r="DU335" i="1"/>
  <c r="DV335" i="1"/>
  <c r="DW335" i="1"/>
  <c r="DX335" i="1"/>
  <c r="DY335" i="1"/>
  <c r="DZ335" i="1"/>
  <c r="EA335" i="1"/>
  <c r="EB335" i="1"/>
  <c r="EC335" i="1"/>
  <c r="ED335" i="1"/>
  <c r="EE335" i="1"/>
  <c r="EF335" i="1"/>
  <c r="EG335" i="1"/>
  <c r="EH335" i="1"/>
  <c r="EI335" i="1"/>
  <c r="EJ335" i="1"/>
  <c r="EK335" i="1"/>
  <c r="EL335" i="1"/>
  <c r="EM335" i="1"/>
  <c r="EN335" i="1"/>
  <c r="EO335" i="1"/>
  <c r="EP335" i="1"/>
  <c r="EQ335" i="1"/>
  <c r="ER335" i="1"/>
  <c r="ES335" i="1"/>
  <c r="ET335" i="1"/>
  <c r="EU335" i="1"/>
  <c r="EV335" i="1"/>
  <c r="EW335" i="1"/>
  <c r="EX335" i="1"/>
  <c r="EY335" i="1"/>
  <c r="EZ335" i="1"/>
  <c r="FA335" i="1"/>
  <c r="FB335" i="1"/>
  <c r="FC335" i="1"/>
  <c r="FD335" i="1"/>
  <c r="FE335" i="1"/>
  <c r="FF335" i="1"/>
  <c r="FG335" i="1"/>
  <c r="FH335" i="1"/>
  <c r="FI335" i="1"/>
  <c r="FJ335" i="1"/>
  <c r="FK335" i="1"/>
  <c r="FL335" i="1"/>
  <c r="FM335" i="1"/>
  <c r="FN335" i="1"/>
  <c r="FO335" i="1"/>
  <c r="FP335" i="1"/>
  <c r="FQ335" i="1"/>
  <c r="FR335" i="1"/>
  <c r="FS335" i="1"/>
  <c r="FT335" i="1"/>
  <c r="FU335" i="1"/>
  <c r="FV335" i="1"/>
  <c r="FW335" i="1"/>
  <c r="FX335" i="1"/>
  <c r="FY335" i="1"/>
  <c r="FZ335" i="1"/>
  <c r="GA335" i="1"/>
  <c r="GB335" i="1"/>
  <c r="GC335" i="1"/>
  <c r="GD335" i="1"/>
  <c r="GE335" i="1"/>
  <c r="GF335" i="1"/>
  <c r="GG335" i="1"/>
  <c r="GH335" i="1"/>
  <c r="GI335" i="1"/>
  <c r="GJ335" i="1"/>
  <c r="GK335" i="1"/>
  <c r="GL335" i="1"/>
  <c r="GM335" i="1"/>
  <c r="GN335" i="1"/>
  <c r="GO335" i="1"/>
  <c r="GP335" i="1"/>
  <c r="GQ335" i="1"/>
  <c r="GR335" i="1"/>
  <c r="GS335" i="1"/>
  <c r="GT335" i="1"/>
  <c r="GU335" i="1"/>
  <c r="GV335" i="1"/>
  <c r="GW335" i="1"/>
  <c r="GX335" i="1"/>
  <c r="D337" i="1"/>
  <c r="C339" i="1"/>
  <c r="D339" i="1"/>
  <c r="E339" i="1"/>
  <c r="F339" i="1"/>
  <c r="Z339" i="1"/>
  <c r="AA339" i="1"/>
  <c r="AM339" i="1"/>
  <c r="AN339" i="1"/>
  <c r="BE339" i="1"/>
  <c r="BF339" i="1"/>
  <c r="BG339" i="1"/>
  <c r="BH339" i="1"/>
  <c r="BI339" i="1"/>
  <c r="BJ339" i="1"/>
  <c r="BK339" i="1"/>
  <c r="BL339" i="1"/>
  <c r="BM339" i="1"/>
  <c r="BN339" i="1"/>
  <c r="BO339" i="1"/>
  <c r="BP339" i="1"/>
  <c r="BQ339" i="1"/>
  <c r="BR339" i="1"/>
  <c r="BS339" i="1"/>
  <c r="BT339" i="1"/>
  <c r="BU339" i="1"/>
  <c r="BV339" i="1"/>
  <c r="BW339" i="1"/>
  <c r="BX339" i="1"/>
  <c r="CK339" i="1"/>
  <c r="CL339" i="1"/>
  <c r="CM339" i="1"/>
  <c r="CN339" i="1"/>
  <c r="CO339" i="1"/>
  <c r="CP339" i="1"/>
  <c r="CQ339" i="1"/>
  <c r="CR339" i="1"/>
  <c r="CS339" i="1"/>
  <c r="CT339" i="1"/>
  <c r="CU339" i="1"/>
  <c r="CV339" i="1"/>
  <c r="CW339" i="1"/>
  <c r="CX339" i="1"/>
  <c r="CY339" i="1"/>
  <c r="CZ339" i="1"/>
  <c r="DA339" i="1"/>
  <c r="DB339" i="1"/>
  <c r="DC339" i="1"/>
  <c r="DD339" i="1"/>
  <c r="DE339" i="1"/>
  <c r="DF339" i="1"/>
  <c r="DG339" i="1"/>
  <c r="DH339" i="1"/>
  <c r="DI339" i="1"/>
  <c r="DJ339" i="1"/>
  <c r="DK339" i="1"/>
  <c r="DL339" i="1"/>
  <c r="DM339" i="1"/>
  <c r="DN339" i="1"/>
  <c r="DO339" i="1"/>
  <c r="DP339" i="1"/>
  <c r="DQ339" i="1"/>
  <c r="DR339" i="1"/>
  <c r="DS339" i="1"/>
  <c r="DT339" i="1"/>
  <c r="DU339" i="1"/>
  <c r="DV339" i="1"/>
  <c r="DW339" i="1"/>
  <c r="DX339" i="1"/>
  <c r="DY339" i="1"/>
  <c r="DZ339" i="1"/>
  <c r="EA339" i="1"/>
  <c r="EB339" i="1"/>
  <c r="EC339" i="1"/>
  <c r="ED339" i="1"/>
  <c r="EE339" i="1"/>
  <c r="EF339" i="1"/>
  <c r="EG339" i="1"/>
  <c r="EH339" i="1"/>
  <c r="EI339" i="1"/>
  <c r="EJ339" i="1"/>
  <c r="EK339" i="1"/>
  <c r="EL339" i="1"/>
  <c r="EM339" i="1"/>
  <c r="EN339" i="1"/>
  <c r="EO339" i="1"/>
  <c r="EP339" i="1"/>
  <c r="EQ339" i="1"/>
  <c r="ER339" i="1"/>
  <c r="ES339" i="1"/>
  <c r="ET339" i="1"/>
  <c r="EU339" i="1"/>
  <c r="EV339" i="1"/>
  <c r="EW339" i="1"/>
  <c r="EX339" i="1"/>
  <c r="EY339" i="1"/>
  <c r="EZ339" i="1"/>
  <c r="FA339" i="1"/>
  <c r="FB339" i="1"/>
  <c r="FC339" i="1"/>
  <c r="FD339" i="1"/>
  <c r="FE339" i="1"/>
  <c r="FF339" i="1"/>
  <c r="FG339" i="1"/>
  <c r="FH339" i="1"/>
  <c r="FI339" i="1"/>
  <c r="FJ339" i="1"/>
  <c r="FK339" i="1"/>
  <c r="FL339" i="1"/>
  <c r="FM339" i="1"/>
  <c r="FN339" i="1"/>
  <c r="FO339" i="1"/>
  <c r="FP339" i="1"/>
  <c r="FQ339" i="1"/>
  <c r="FR339" i="1"/>
  <c r="FS339" i="1"/>
  <c r="FT339" i="1"/>
  <c r="FU339" i="1"/>
  <c r="FV339" i="1"/>
  <c r="FW339" i="1"/>
  <c r="FX339" i="1"/>
  <c r="FY339" i="1"/>
  <c r="FZ339" i="1"/>
  <c r="GA339" i="1"/>
  <c r="GB339" i="1"/>
  <c r="GC339" i="1"/>
  <c r="GD339" i="1"/>
  <c r="GE339" i="1"/>
  <c r="GF339" i="1"/>
  <c r="GG339" i="1"/>
  <c r="GH339" i="1"/>
  <c r="GI339" i="1"/>
  <c r="GJ339" i="1"/>
  <c r="GK339" i="1"/>
  <c r="GL339" i="1"/>
  <c r="GM339" i="1"/>
  <c r="GN339" i="1"/>
  <c r="GO339" i="1"/>
  <c r="GP339" i="1"/>
  <c r="GQ339" i="1"/>
  <c r="GR339" i="1"/>
  <c r="GS339" i="1"/>
  <c r="GT339" i="1"/>
  <c r="GU339" i="1"/>
  <c r="GV339" i="1"/>
  <c r="GW339" i="1"/>
  <c r="GX339" i="1"/>
  <c r="C341" i="1"/>
  <c r="D341" i="1"/>
  <c r="I341" i="1"/>
  <c r="K341" i="1"/>
  <c r="AC341" i="1"/>
  <c r="CQ341" i="1" s="1"/>
  <c r="AE341" i="1"/>
  <c r="AF341" i="1"/>
  <c r="AG341" i="1"/>
  <c r="CU341" i="1" s="1"/>
  <c r="T341" i="1" s="1"/>
  <c r="AG344" i="1" s="1"/>
  <c r="AG339" i="1" s="1"/>
  <c r="AH341" i="1"/>
  <c r="CV341" i="1" s="1"/>
  <c r="U341" i="1" s="1"/>
  <c r="AI341" i="1"/>
  <c r="AJ341" i="1"/>
  <c r="CW341" i="1"/>
  <c r="V341" i="1" s="1"/>
  <c r="AI344" i="1" s="1"/>
  <c r="CX341" i="1"/>
  <c r="W341" i="1" s="1"/>
  <c r="AJ344" i="1" s="1"/>
  <c r="FR341" i="1"/>
  <c r="BY344" i="1" s="1"/>
  <c r="AP344" i="1" s="1"/>
  <c r="F353" i="1" s="1"/>
  <c r="GL341" i="1"/>
  <c r="BZ344" i="1" s="1"/>
  <c r="GN341" i="1"/>
  <c r="CB344" i="1" s="1"/>
  <c r="GO341" i="1"/>
  <c r="CC344" i="1" s="1"/>
  <c r="AT344" i="1" s="1"/>
  <c r="GV341" i="1"/>
  <c r="HC341" i="1" s="1"/>
  <c r="C342" i="1"/>
  <c r="D342" i="1"/>
  <c r="I342" i="1"/>
  <c r="P342" i="1" s="1"/>
  <c r="K342" i="1"/>
  <c r="AC342" i="1"/>
  <c r="AE342" i="1"/>
  <c r="AF342" i="1"/>
  <c r="CT342" i="1" s="1"/>
  <c r="AG342" i="1"/>
  <c r="CU342" i="1" s="1"/>
  <c r="AH342" i="1"/>
  <c r="CV342" i="1" s="1"/>
  <c r="AI342" i="1"/>
  <c r="CW342" i="1" s="1"/>
  <c r="V342" i="1" s="1"/>
  <c r="AJ342" i="1"/>
  <c r="CX342" i="1" s="1"/>
  <c r="W342" i="1" s="1"/>
  <c r="CQ342" i="1"/>
  <c r="FR342" i="1"/>
  <c r="GL342" i="1"/>
  <c r="GN342" i="1"/>
  <c r="GO342" i="1"/>
  <c r="GV342" i="1"/>
  <c r="HC342" i="1"/>
  <c r="GX342" i="1" s="1"/>
  <c r="B344" i="1"/>
  <c r="B339" i="1" s="1"/>
  <c r="C344" i="1"/>
  <c r="D344" i="1"/>
  <c r="F344" i="1"/>
  <c r="G344" i="1"/>
  <c r="AO344" i="1"/>
  <c r="BX344" i="1"/>
  <c r="CK344" i="1"/>
  <c r="BB344" i="1" s="1"/>
  <c r="F357" i="1" s="1"/>
  <c r="CL344" i="1"/>
  <c r="BC344" i="1" s="1"/>
  <c r="CM344" i="1"/>
  <c r="BD344" i="1" s="1"/>
  <c r="B374" i="1"/>
  <c r="C374" i="1"/>
  <c r="D374" i="1"/>
  <c r="D335" i="1" s="1"/>
  <c r="F374" i="1"/>
  <c r="F335" i="1" s="1"/>
  <c r="G374" i="1"/>
  <c r="AO374" i="1"/>
  <c r="F378" i="1"/>
  <c r="D404" i="1"/>
  <c r="E406" i="1"/>
  <c r="Z406" i="1"/>
  <c r="AA406" i="1"/>
  <c r="AB406" i="1"/>
  <c r="AC406" i="1"/>
  <c r="AD406" i="1"/>
  <c r="AE406" i="1"/>
  <c r="AF406" i="1"/>
  <c r="AG406" i="1"/>
  <c r="AH406" i="1"/>
  <c r="AI406" i="1"/>
  <c r="AJ406" i="1"/>
  <c r="AK406" i="1"/>
  <c r="AL406" i="1"/>
  <c r="AM406" i="1"/>
  <c r="AN406" i="1"/>
  <c r="BE406" i="1"/>
  <c r="BF406" i="1"/>
  <c r="BG406" i="1"/>
  <c r="BH406" i="1"/>
  <c r="BI406" i="1"/>
  <c r="BJ406" i="1"/>
  <c r="BK406" i="1"/>
  <c r="BL406" i="1"/>
  <c r="BM406" i="1"/>
  <c r="BN406" i="1"/>
  <c r="BO406" i="1"/>
  <c r="BP406" i="1"/>
  <c r="BQ406" i="1"/>
  <c r="BR406" i="1"/>
  <c r="BS406" i="1"/>
  <c r="BT406" i="1"/>
  <c r="BU406" i="1"/>
  <c r="BV406" i="1"/>
  <c r="BW406" i="1"/>
  <c r="BX406" i="1"/>
  <c r="BY406" i="1"/>
  <c r="BZ406" i="1"/>
  <c r="CA406" i="1"/>
  <c r="CB406" i="1"/>
  <c r="CC406" i="1"/>
  <c r="CD406" i="1"/>
  <c r="CE406" i="1"/>
  <c r="CF406" i="1"/>
  <c r="CG406" i="1"/>
  <c r="CH406" i="1"/>
  <c r="CI406" i="1"/>
  <c r="CJ406" i="1"/>
  <c r="CK406" i="1"/>
  <c r="CL406" i="1"/>
  <c r="CM406" i="1"/>
  <c r="CN406" i="1"/>
  <c r="CO406" i="1"/>
  <c r="CP406" i="1"/>
  <c r="CQ406" i="1"/>
  <c r="CR406" i="1"/>
  <c r="CS406" i="1"/>
  <c r="CT406" i="1"/>
  <c r="CU406" i="1"/>
  <c r="CV406" i="1"/>
  <c r="CW406" i="1"/>
  <c r="CX406" i="1"/>
  <c r="CY406" i="1"/>
  <c r="CZ406" i="1"/>
  <c r="DA406" i="1"/>
  <c r="DB406" i="1"/>
  <c r="DC406" i="1"/>
  <c r="DD406" i="1"/>
  <c r="DE406" i="1"/>
  <c r="DF406" i="1"/>
  <c r="DG406" i="1"/>
  <c r="DH406" i="1"/>
  <c r="DI406" i="1"/>
  <c r="DJ406" i="1"/>
  <c r="DK406" i="1"/>
  <c r="DL406" i="1"/>
  <c r="DM406" i="1"/>
  <c r="DN406" i="1"/>
  <c r="DO406" i="1"/>
  <c r="DP406" i="1"/>
  <c r="DQ406" i="1"/>
  <c r="DR406" i="1"/>
  <c r="DS406" i="1"/>
  <c r="DT406" i="1"/>
  <c r="DU406" i="1"/>
  <c r="DV406" i="1"/>
  <c r="DW406" i="1"/>
  <c r="DX406" i="1"/>
  <c r="DY406" i="1"/>
  <c r="DZ406" i="1"/>
  <c r="EA406" i="1"/>
  <c r="EB406" i="1"/>
  <c r="EC406" i="1"/>
  <c r="ED406" i="1"/>
  <c r="EE406" i="1"/>
  <c r="EF406" i="1"/>
  <c r="EG406" i="1"/>
  <c r="EH406" i="1"/>
  <c r="EI406" i="1"/>
  <c r="EJ406" i="1"/>
  <c r="EK406" i="1"/>
  <c r="EL406" i="1"/>
  <c r="EM406" i="1"/>
  <c r="EN406" i="1"/>
  <c r="EO406" i="1"/>
  <c r="EP406" i="1"/>
  <c r="EQ406" i="1"/>
  <c r="ER406" i="1"/>
  <c r="ES406" i="1"/>
  <c r="ET406" i="1"/>
  <c r="EU406" i="1"/>
  <c r="EV406" i="1"/>
  <c r="EW406" i="1"/>
  <c r="EX406" i="1"/>
  <c r="EY406" i="1"/>
  <c r="EZ406" i="1"/>
  <c r="FA406" i="1"/>
  <c r="FB406" i="1"/>
  <c r="FC406" i="1"/>
  <c r="FD406" i="1"/>
  <c r="FE406" i="1"/>
  <c r="FF406" i="1"/>
  <c r="FG406" i="1"/>
  <c r="FH406" i="1"/>
  <c r="FI406" i="1"/>
  <c r="FJ406" i="1"/>
  <c r="FK406" i="1"/>
  <c r="FL406" i="1"/>
  <c r="FM406" i="1"/>
  <c r="FN406" i="1"/>
  <c r="FO406" i="1"/>
  <c r="FP406" i="1"/>
  <c r="FQ406" i="1"/>
  <c r="FR406" i="1"/>
  <c r="FS406" i="1"/>
  <c r="FT406" i="1"/>
  <c r="FU406" i="1"/>
  <c r="FV406" i="1"/>
  <c r="FW406" i="1"/>
  <c r="FX406" i="1"/>
  <c r="FY406" i="1"/>
  <c r="FZ406" i="1"/>
  <c r="GA406" i="1"/>
  <c r="GB406" i="1"/>
  <c r="GC406" i="1"/>
  <c r="GD406" i="1"/>
  <c r="GE406" i="1"/>
  <c r="GF406" i="1"/>
  <c r="GG406" i="1"/>
  <c r="GH406" i="1"/>
  <c r="GI406" i="1"/>
  <c r="GJ406" i="1"/>
  <c r="GK406" i="1"/>
  <c r="GL406" i="1"/>
  <c r="GM406" i="1"/>
  <c r="GN406" i="1"/>
  <c r="GO406" i="1"/>
  <c r="GP406" i="1"/>
  <c r="GQ406" i="1"/>
  <c r="GR406" i="1"/>
  <c r="GS406" i="1"/>
  <c r="GT406" i="1"/>
  <c r="GU406" i="1"/>
  <c r="GV406" i="1"/>
  <c r="GW406" i="1"/>
  <c r="GX406" i="1"/>
  <c r="D408" i="1"/>
  <c r="E410" i="1"/>
  <c r="Z410" i="1"/>
  <c r="AA410" i="1"/>
  <c r="AM410" i="1"/>
  <c r="AN410" i="1"/>
  <c r="BE410" i="1"/>
  <c r="BF410" i="1"/>
  <c r="BG410" i="1"/>
  <c r="BH410" i="1"/>
  <c r="BI410" i="1"/>
  <c r="BJ410" i="1"/>
  <c r="BK410" i="1"/>
  <c r="BL410" i="1"/>
  <c r="BM410" i="1"/>
  <c r="BN410" i="1"/>
  <c r="BO410" i="1"/>
  <c r="BP410" i="1"/>
  <c r="BQ410" i="1"/>
  <c r="BR410" i="1"/>
  <c r="BS410" i="1"/>
  <c r="BT410" i="1"/>
  <c r="BU410" i="1"/>
  <c r="BV410" i="1"/>
  <c r="BW410" i="1"/>
  <c r="CN410" i="1"/>
  <c r="CO410" i="1"/>
  <c r="CP410" i="1"/>
  <c r="CQ410" i="1"/>
  <c r="CR410" i="1"/>
  <c r="CS410" i="1"/>
  <c r="CT410" i="1"/>
  <c r="CU410" i="1"/>
  <c r="CV410" i="1"/>
  <c r="CW410" i="1"/>
  <c r="CX410" i="1"/>
  <c r="CY410" i="1"/>
  <c r="CZ410" i="1"/>
  <c r="DA410" i="1"/>
  <c r="DB410" i="1"/>
  <c r="DC410" i="1"/>
  <c r="DD410" i="1"/>
  <c r="DE410" i="1"/>
  <c r="DF410" i="1"/>
  <c r="DG410" i="1"/>
  <c r="DH410" i="1"/>
  <c r="DI410" i="1"/>
  <c r="DJ410" i="1"/>
  <c r="DK410" i="1"/>
  <c r="DL410" i="1"/>
  <c r="DM410" i="1"/>
  <c r="DN410" i="1"/>
  <c r="DO410" i="1"/>
  <c r="DP410" i="1"/>
  <c r="DQ410" i="1"/>
  <c r="DR410" i="1"/>
  <c r="DS410" i="1"/>
  <c r="DT410" i="1"/>
  <c r="DU410" i="1"/>
  <c r="DV410" i="1"/>
  <c r="DW410" i="1"/>
  <c r="DX410" i="1"/>
  <c r="DY410" i="1"/>
  <c r="DZ410" i="1"/>
  <c r="EA410" i="1"/>
  <c r="EB410" i="1"/>
  <c r="EC410" i="1"/>
  <c r="ED410" i="1"/>
  <c r="EE410" i="1"/>
  <c r="EF410" i="1"/>
  <c r="EG410" i="1"/>
  <c r="EH410" i="1"/>
  <c r="EI410" i="1"/>
  <c r="EJ410" i="1"/>
  <c r="EK410" i="1"/>
  <c r="EL410" i="1"/>
  <c r="EM410" i="1"/>
  <c r="EN410" i="1"/>
  <c r="EO410" i="1"/>
  <c r="EP410" i="1"/>
  <c r="EQ410" i="1"/>
  <c r="ER410" i="1"/>
  <c r="ES410" i="1"/>
  <c r="ET410" i="1"/>
  <c r="EU410" i="1"/>
  <c r="EV410" i="1"/>
  <c r="EW410" i="1"/>
  <c r="EX410" i="1"/>
  <c r="EY410" i="1"/>
  <c r="EZ410" i="1"/>
  <c r="FA410" i="1"/>
  <c r="FB410" i="1"/>
  <c r="FC410" i="1"/>
  <c r="FD410" i="1"/>
  <c r="FE410" i="1"/>
  <c r="FF410" i="1"/>
  <c r="FG410" i="1"/>
  <c r="FH410" i="1"/>
  <c r="FI410" i="1"/>
  <c r="FJ410" i="1"/>
  <c r="FK410" i="1"/>
  <c r="FL410" i="1"/>
  <c r="FM410" i="1"/>
  <c r="FN410" i="1"/>
  <c r="FO410" i="1"/>
  <c r="FP410" i="1"/>
  <c r="FQ410" i="1"/>
  <c r="FR410" i="1"/>
  <c r="FS410" i="1"/>
  <c r="FT410" i="1"/>
  <c r="FU410" i="1"/>
  <c r="FV410" i="1"/>
  <c r="FW410" i="1"/>
  <c r="FX410" i="1"/>
  <c r="FY410" i="1"/>
  <c r="FZ410" i="1"/>
  <c r="GA410" i="1"/>
  <c r="GB410" i="1"/>
  <c r="GC410" i="1"/>
  <c r="GD410" i="1"/>
  <c r="GE410" i="1"/>
  <c r="GF410" i="1"/>
  <c r="GG410" i="1"/>
  <c r="GH410" i="1"/>
  <c r="GI410" i="1"/>
  <c r="GJ410" i="1"/>
  <c r="GK410" i="1"/>
  <c r="GL410" i="1"/>
  <c r="GM410" i="1"/>
  <c r="GN410" i="1"/>
  <c r="GO410" i="1"/>
  <c r="GP410" i="1"/>
  <c r="GQ410" i="1"/>
  <c r="GR410" i="1"/>
  <c r="GS410" i="1"/>
  <c r="GT410" i="1"/>
  <c r="GU410" i="1"/>
  <c r="GV410" i="1"/>
  <c r="GW410" i="1"/>
  <c r="GX410" i="1"/>
  <c r="D412" i="1"/>
  <c r="I412" i="1"/>
  <c r="K412" i="1"/>
  <c r="R412" i="1"/>
  <c r="GK412" i="1" s="1"/>
  <c r="AB412" i="1"/>
  <c r="AC412" i="1"/>
  <c r="AD412" i="1"/>
  <c r="AE412" i="1"/>
  <c r="AF412" i="1"/>
  <c r="AG412" i="1"/>
  <c r="AH412" i="1"/>
  <c r="AI412" i="1"/>
  <c r="AJ412" i="1"/>
  <c r="CX412" i="1" s="1"/>
  <c r="CQ412" i="1"/>
  <c r="CR412" i="1"/>
  <c r="CS412" i="1"/>
  <c r="CT412" i="1"/>
  <c r="CU412" i="1"/>
  <c r="CV412" i="1"/>
  <c r="CW412" i="1"/>
  <c r="FR412" i="1"/>
  <c r="GL412" i="1"/>
  <c r="GN412" i="1"/>
  <c r="GO412" i="1"/>
  <c r="GV412" i="1"/>
  <c r="HC412" i="1"/>
  <c r="GX412" i="1" s="1"/>
  <c r="D413" i="1"/>
  <c r="AC413" i="1"/>
  <c r="CQ413" i="1" s="1"/>
  <c r="AE413" i="1"/>
  <c r="CR413" i="1" s="1"/>
  <c r="AF413" i="1"/>
  <c r="AG413" i="1"/>
  <c r="CU413" i="1" s="1"/>
  <c r="AH413" i="1"/>
  <c r="CV413" i="1" s="1"/>
  <c r="AI413" i="1"/>
  <c r="CW413" i="1" s="1"/>
  <c r="AJ413" i="1"/>
  <c r="CS413" i="1"/>
  <c r="CT413" i="1"/>
  <c r="CX413" i="1"/>
  <c r="FR413" i="1"/>
  <c r="GL413" i="1"/>
  <c r="GN413" i="1"/>
  <c r="GO413" i="1"/>
  <c r="GV413" i="1"/>
  <c r="HC413" i="1"/>
  <c r="C414" i="1"/>
  <c r="D414" i="1"/>
  <c r="I414" i="1"/>
  <c r="K414" i="1"/>
  <c r="AC414" i="1"/>
  <c r="AE414" i="1"/>
  <c r="AF414" i="1"/>
  <c r="CT414" i="1" s="1"/>
  <c r="S414" i="1" s="1"/>
  <c r="AG414" i="1"/>
  <c r="CU414" i="1" s="1"/>
  <c r="T414" i="1" s="1"/>
  <c r="AH414" i="1"/>
  <c r="AI414" i="1"/>
  <c r="AJ414" i="1"/>
  <c r="CV414" i="1"/>
  <c r="U414" i="1" s="1"/>
  <c r="CW414" i="1"/>
  <c r="V414" i="1" s="1"/>
  <c r="CX414" i="1"/>
  <c r="W414" i="1" s="1"/>
  <c r="FR414" i="1"/>
  <c r="GL414" i="1"/>
  <c r="GN414" i="1"/>
  <c r="GO414" i="1"/>
  <c r="GV414" i="1"/>
  <c r="HC414" i="1" s="1"/>
  <c r="GX414" i="1" s="1"/>
  <c r="D415" i="1"/>
  <c r="P415" i="1"/>
  <c r="W415" i="1"/>
  <c r="AC415" i="1"/>
  <c r="AE415" i="1"/>
  <c r="AF415" i="1"/>
  <c r="AG415" i="1"/>
  <c r="AH415" i="1"/>
  <c r="AI415" i="1"/>
  <c r="CW415" i="1" s="1"/>
  <c r="V415" i="1" s="1"/>
  <c r="AJ415" i="1"/>
  <c r="CX415" i="1" s="1"/>
  <c r="CQ415" i="1"/>
  <c r="CR415" i="1"/>
  <c r="Q415" i="1" s="1"/>
  <c r="CS415" i="1"/>
  <c r="CT415" i="1"/>
  <c r="S415" i="1" s="1"/>
  <c r="CU415" i="1"/>
  <c r="T415" i="1" s="1"/>
  <c r="CV415" i="1"/>
  <c r="U415" i="1" s="1"/>
  <c r="FR415" i="1"/>
  <c r="GL415" i="1"/>
  <c r="GN415" i="1"/>
  <c r="GO415" i="1"/>
  <c r="GV415" i="1"/>
  <c r="HC415" i="1"/>
  <c r="GX415" i="1" s="1"/>
  <c r="D416" i="1"/>
  <c r="V416" i="1"/>
  <c r="AC416" i="1"/>
  <c r="CQ416" i="1" s="1"/>
  <c r="P416" i="1" s="1"/>
  <c r="AE416" i="1"/>
  <c r="AD416" i="1" s="1"/>
  <c r="AF416" i="1"/>
  <c r="AG416" i="1"/>
  <c r="CU416" i="1" s="1"/>
  <c r="T416" i="1" s="1"/>
  <c r="AH416" i="1"/>
  <c r="CV416" i="1" s="1"/>
  <c r="U416" i="1" s="1"/>
  <c r="AI416" i="1"/>
  <c r="CW416" i="1" s="1"/>
  <c r="AJ416" i="1"/>
  <c r="CX416" i="1" s="1"/>
  <c r="W416" i="1" s="1"/>
  <c r="CR416" i="1"/>
  <c r="Q416" i="1" s="1"/>
  <c r="CS416" i="1"/>
  <c r="R416" i="1" s="1"/>
  <c r="GK416" i="1" s="1"/>
  <c r="CT416" i="1"/>
  <c r="S416" i="1" s="1"/>
  <c r="CY416" i="1" s="1"/>
  <c r="X416" i="1" s="1"/>
  <c r="FR416" i="1"/>
  <c r="GL416" i="1"/>
  <c r="GN416" i="1"/>
  <c r="GO416" i="1"/>
  <c r="GV416" i="1"/>
  <c r="HC416" i="1"/>
  <c r="GX416" i="1" s="1"/>
  <c r="C417" i="1"/>
  <c r="D417" i="1"/>
  <c r="AC417" i="1"/>
  <c r="CQ417" i="1" s="1"/>
  <c r="P417" i="1" s="1"/>
  <c r="AD417" i="1"/>
  <c r="AB417" i="1" s="1"/>
  <c r="AE417" i="1"/>
  <c r="CS417" i="1" s="1"/>
  <c r="R417" i="1" s="1"/>
  <c r="GK417" i="1" s="1"/>
  <c r="AF417" i="1"/>
  <c r="CT417" i="1" s="1"/>
  <c r="S417" i="1" s="1"/>
  <c r="AG417" i="1"/>
  <c r="CU417" i="1" s="1"/>
  <c r="T417" i="1" s="1"/>
  <c r="AH417" i="1"/>
  <c r="CV417" i="1" s="1"/>
  <c r="U417" i="1" s="1"/>
  <c r="AI417" i="1"/>
  <c r="CW417" i="1" s="1"/>
  <c r="V417" i="1" s="1"/>
  <c r="AJ417" i="1"/>
  <c r="CX417" i="1" s="1"/>
  <c r="W417" i="1" s="1"/>
  <c r="FR417" i="1"/>
  <c r="GL417" i="1"/>
  <c r="GN417" i="1"/>
  <c r="GO417" i="1"/>
  <c r="GV417" i="1"/>
  <c r="HC417" i="1" s="1"/>
  <c r="GX417" i="1" s="1"/>
  <c r="D418" i="1"/>
  <c r="U418" i="1"/>
  <c r="W418" i="1"/>
  <c r="AC418" i="1"/>
  <c r="AE418" i="1"/>
  <c r="AF418" i="1"/>
  <c r="AG418" i="1"/>
  <c r="AH418" i="1"/>
  <c r="AI418" i="1"/>
  <c r="AJ418" i="1"/>
  <c r="CX418" i="1" s="1"/>
  <c r="CU418" i="1"/>
  <c r="T418" i="1" s="1"/>
  <c r="CV418" i="1"/>
  <c r="CW418" i="1"/>
  <c r="V418" i="1" s="1"/>
  <c r="FR418" i="1"/>
  <c r="GL418" i="1"/>
  <c r="GN418" i="1"/>
  <c r="GO418" i="1"/>
  <c r="GV418" i="1"/>
  <c r="HC418" i="1"/>
  <c r="GX418" i="1" s="1"/>
  <c r="D419" i="1"/>
  <c r="AC419" i="1"/>
  <c r="CQ419" i="1" s="1"/>
  <c r="P419" i="1" s="1"/>
  <c r="AE419" i="1"/>
  <c r="AF419" i="1"/>
  <c r="CT419" i="1" s="1"/>
  <c r="S419" i="1" s="1"/>
  <c r="AG419" i="1"/>
  <c r="CU419" i="1" s="1"/>
  <c r="T419" i="1" s="1"/>
  <c r="AH419" i="1"/>
  <c r="CV419" i="1" s="1"/>
  <c r="U419" i="1" s="1"/>
  <c r="AI419" i="1"/>
  <c r="CW419" i="1" s="1"/>
  <c r="V419" i="1" s="1"/>
  <c r="AJ419" i="1"/>
  <c r="CX419" i="1" s="1"/>
  <c r="W419" i="1" s="1"/>
  <c r="FR419" i="1"/>
  <c r="GL419" i="1"/>
  <c r="GN419" i="1"/>
  <c r="GO419" i="1"/>
  <c r="GV419" i="1"/>
  <c r="HC419" i="1"/>
  <c r="GX419" i="1" s="1"/>
  <c r="C420" i="1"/>
  <c r="D420" i="1"/>
  <c r="AC420" i="1"/>
  <c r="CQ420" i="1" s="1"/>
  <c r="P420" i="1" s="1"/>
  <c r="AE420" i="1"/>
  <c r="AF420" i="1"/>
  <c r="CT420" i="1" s="1"/>
  <c r="S420" i="1" s="1"/>
  <c r="AG420" i="1"/>
  <c r="AH420" i="1"/>
  <c r="CV420" i="1" s="1"/>
  <c r="U420" i="1" s="1"/>
  <c r="AI420" i="1"/>
  <c r="CW420" i="1" s="1"/>
  <c r="V420" i="1" s="1"/>
  <c r="AJ420" i="1"/>
  <c r="CX420" i="1" s="1"/>
  <c r="W420" i="1" s="1"/>
  <c r="CU420" i="1"/>
  <c r="T420" i="1" s="1"/>
  <c r="FR420" i="1"/>
  <c r="GL420" i="1"/>
  <c r="GN420" i="1"/>
  <c r="GO420" i="1"/>
  <c r="GV420" i="1"/>
  <c r="HC420" i="1"/>
  <c r="GX420" i="1" s="1"/>
  <c r="D421" i="1"/>
  <c r="Q421" i="1"/>
  <c r="AC421" i="1"/>
  <c r="AD421" i="1"/>
  <c r="AE421" i="1"/>
  <c r="AF421" i="1"/>
  <c r="AG421" i="1"/>
  <c r="CU421" i="1" s="1"/>
  <c r="T421" i="1" s="1"/>
  <c r="AH421" i="1"/>
  <c r="CV421" i="1" s="1"/>
  <c r="U421" i="1" s="1"/>
  <c r="AI421" i="1"/>
  <c r="CW421" i="1" s="1"/>
  <c r="V421" i="1" s="1"/>
  <c r="AJ421" i="1"/>
  <c r="CX421" i="1" s="1"/>
  <c r="W421" i="1" s="1"/>
  <c r="CQ421" i="1"/>
  <c r="P421" i="1" s="1"/>
  <c r="CR421" i="1"/>
  <c r="FR421" i="1"/>
  <c r="GL421" i="1"/>
  <c r="GN421" i="1"/>
  <c r="GO421" i="1"/>
  <c r="CC426" i="1" s="1"/>
  <c r="CC410" i="1" s="1"/>
  <c r="GV421" i="1"/>
  <c r="HC421" i="1" s="1"/>
  <c r="GX421" i="1" s="1"/>
  <c r="D422" i="1"/>
  <c r="AC422" i="1"/>
  <c r="AE422" i="1"/>
  <c r="AD422" i="1" s="1"/>
  <c r="AF422" i="1"/>
  <c r="CT422" i="1" s="1"/>
  <c r="S422" i="1" s="1"/>
  <c r="AG422" i="1"/>
  <c r="CU422" i="1" s="1"/>
  <c r="T422" i="1" s="1"/>
  <c r="AH422" i="1"/>
  <c r="AI422" i="1"/>
  <c r="CW422" i="1" s="1"/>
  <c r="V422" i="1" s="1"/>
  <c r="AJ422" i="1"/>
  <c r="CX422" i="1" s="1"/>
  <c r="W422" i="1" s="1"/>
  <c r="CV422" i="1"/>
  <c r="U422" i="1" s="1"/>
  <c r="FR422" i="1"/>
  <c r="GL422" i="1"/>
  <c r="GN422" i="1"/>
  <c r="GO422" i="1"/>
  <c r="GV422" i="1"/>
  <c r="HC422" i="1"/>
  <c r="GX422" i="1" s="1"/>
  <c r="C423" i="1"/>
  <c r="D423" i="1"/>
  <c r="T423" i="1"/>
  <c r="AG426" i="1" s="1"/>
  <c r="AC423" i="1"/>
  <c r="CQ423" i="1" s="1"/>
  <c r="P423" i="1" s="1"/>
  <c r="AE423" i="1"/>
  <c r="AF423" i="1"/>
  <c r="AG423" i="1"/>
  <c r="CU423" i="1" s="1"/>
  <c r="AH423" i="1"/>
  <c r="CV423" i="1" s="1"/>
  <c r="U423" i="1" s="1"/>
  <c r="AI423" i="1"/>
  <c r="CW423" i="1" s="1"/>
  <c r="V423" i="1" s="1"/>
  <c r="AJ423" i="1"/>
  <c r="CX423" i="1" s="1"/>
  <c r="W423" i="1" s="1"/>
  <c r="FR423" i="1"/>
  <c r="GL423" i="1"/>
  <c r="GN423" i="1"/>
  <c r="GO423" i="1"/>
  <c r="GV423" i="1"/>
  <c r="HC423" i="1" s="1"/>
  <c r="GX423" i="1" s="1"/>
  <c r="C424" i="1"/>
  <c r="D424" i="1"/>
  <c r="AC424" i="1"/>
  <c r="AE424" i="1"/>
  <c r="AD424" i="1" s="1"/>
  <c r="AF424" i="1"/>
  <c r="CT424" i="1" s="1"/>
  <c r="S424" i="1" s="1"/>
  <c r="AG424" i="1"/>
  <c r="CU424" i="1" s="1"/>
  <c r="T424" i="1" s="1"/>
  <c r="AH424" i="1"/>
  <c r="CV424" i="1" s="1"/>
  <c r="U424" i="1" s="1"/>
  <c r="AI424" i="1"/>
  <c r="CW424" i="1" s="1"/>
  <c r="V424" i="1" s="1"/>
  <c r="AJ424" i="1"/>
  <c r="CX424" i="1" s="1"/>
  <c r="W424" i="1" s="1"/>
  <c r="CQ424" i="1"/>
  <c r="P424" i="1" s="1"/>
  <c r="CR424" i="1"/>
  <c r="Q424" i="1" s="1"/>
  <c r="FR424" i="1"/>
  <c r="GL424" i="1"/>
  <c r="GN424" i="1"/>
  <c r="GO424" i="1"/>
  <c r="GV424" i="1"/>
  <c r="HC424" i="1" s="1"/>
  <c r="GX424" i="1" s="1"/>
  <c r="B426" i="1"/>
  <c r="B410" i="1" s="1"/>
  <c r="C426" i="1"/>
  <c r="C410" i="1" s="1"/>
  <c r="D426" i="1"/>
  <c r="D410" i="1" s="1"/>
  <c r="F426" i="1"/>
  <c r="F410" i="1" s="1"/>
  <c r="G426" i="1"/>
  <c r="BX426" i="1"/>
  <c r="BX410" i="1" s="1"/>
  <c r="CK426" i="1"/>
  <c r="BB426" i="1" s="1"/>
  <c r="CL426" i="1"/>
  <c r="BC426" i="1" s="1"/>
  <c r="CM426" i="1"/>
  <c r="CM410" i="1" s="1"/>
  <c r="B456" i="1"/>
  <c r="B406" i="1" s="1"/>
  <c r="C456" i="1"/>
  <c r="C406" i="1" s="1"/>
  <c r="D456" i="1"/>
  <c r="D406" i="1" s="1"/>
  <c r="F456" i="1"/>
  <c r="F406" i="1" s="1"/>
  <c r="G456" i="1"/>
  <c r="D486" i="1"/>
  <c r="D488" i="1"/>
  <c r="E488" i="1"/>
  <c r="Z488" i="1"/>
  <c r="AA488" i="1"/>
  <c r="AB488" i="1"/>
  <c r="AC488" i="1"/>
  <c r="AD488" i="1"/>
  <c r="AE488" i="1"/>
  <c r="AF488" i="1"/>
  <c r="AG488" i="1"/>
  <c r="AH488" i="1"/>
  <c r="AI488" i="1"/>
  <c r="AJ488" i="1"/>
  <c r="AK488" i="1"/>
  <c r="AL488" i="1"/>
  <c r="AM488" i="1"/>
  <c r="AN488" i="1"/>
  <c r="BE488" i="1"/>
  <c r="BF488" i="1"/>
  <c r="BG488" i="1"/>
  <c r="BH488" i="1"/>
  <c r="BI488" i="1"/>
  <c r="BJ488" i="1"/>
  <c r="BK488" i="1"/>
  <c r="BL488" i="1"/>
  <c r="BM488" i="1"/>
  <c r="BN488" i="1"/>
  <c r="BO488" i="1"/>
  <c r="BP488" i="1"/>
  <c r="BQ488" i="1"/>
  <c r="BR488" i="1"/>
  <c r="BS488" i="1"/>
  <c r="BT488" i="1"/>
  <c r="BU488" i="1"/>
  <c r="BV488" i="1"/>
  <c r="BW488" i="1"/>
  <c r="BX488" i="1"/>
  <c r="BY488" i="1"/>
  <c r="BZ488" i="1"/>
  <c r="CA488" i="1"/>
  <c r="CB488" i="1"/>
  <c r="CC488" i="1"/>
  <c r="CD488" i="1"/>
  <c r="CE488" i="1"/>
  <c r="CF488" i="1"/>
  <c r="CG488" i="1"/>
  <c r="CH488" i="1"/>
  <c r="CI488" i="1"/>
  <c r="CJ488" i="1"/>
  <c r="CK488" i="1"/>
  <c r="CL488" i="1"/>
  <c r="CM488" i="1"/>
  <c r="CN488" i="1"/>
  <c r="CO488" i="1"/>
  <c r="CP488" i="1"/>
  <c r="CQ488" i="1"/>
  <c r="CR488" i="1"/>
  <c r="CS488" i="1"/>
  <c r="CT488" i="1"/>
  <c r="CU488" i="1"/>
  <c r="CV488" i="1"/>
  <c r="CW488" i="1"/>
  <c r="CX488" i="1"/>
  <c r="CY488" i="1"/>
  <c r="CZ488" i="1"/>
  <c r="DA488" i="1"/>
  <c r="DB488" i="1"/>
  <c r="DC488" i="1"/>
  <c r="DD488" i="1"/>
  <c r="DE488" i="1"/>
  <c r="DF488" i="1"/>
  <c r="DG488" i="1"/>
  <c r="DH488" i="1"/>
  <c r="DI488" i="1"/>
  <c r="DJ488" i="1"/>
  <c r="DK488" i="1"/>
  <c r="DL488" i="1"/>
  <c r="DM488" i="1"/>
  <c r="DN488" i="1"/>
  <c r="DO488" i="1"/>
  <c r="DP488" i="1"/>
  <c r="DQ488" i="1"/>
  <c r="DR488" i="1"/>
  <c r="DS488" i="1"/>
  <c r="DT488" i="1"/>
  <c r="DU488" i="1"/>
  <c r="DV488" i="1"/>
  <c r="DW488" i="1"/>
  <c r="DX488" i="1"/>
  <c r="DY488" i="1"/>
  <c r="DZ488" i="1"/>
  <c r="EA488" i="1"/>
  <c r="EB488" i="1"/>
  <c r="EC488" i="1"/>
  <c r="ED488" i="1"/>
  <c r="EE488" i="1"/>
  <c r="EF488" i="1"/>
  <c r="EG488" i="1"/>
  <c r="EH488" i="1"/>
  <c r="EI488" i="1"/>
  <c r="EJ488" i="1"/>
  <c r="EK488" i="1"/>
  <c r="EL488" i="1"/>
  <c r="EM488" i="1"/>
  <c r="EN488" i="1"/>
  <c r="EO488" i="1"/>
  <c r="EP488" i="1"/>
  <c r="EQ488" i="1"/>
  <c r="ER488" i="1"/>
  <c r="ES488" i="1"/>
  <c r="ET488" i="1"/>
  <c r="EU488" i="1"/>
  <c r="EV488" i="1"/>
  <c r="EW488" i="1"/>
  <c r="EX488" i="1"/>
  <c r="EY488" i="1"/>
  <c r="EZ488" i="1"/>
  <c r="FA488" i="1"/>
  <c r="FB488" i="1"/>
  <c r="FC488" i="1"/>
  <c r="FD488" i="1"/>
  <c r="FE488" i="1"/>
  <c r="FF488" i="1"/>
  <c r="FG488" i="1"/>
  <c r="FH488" i="1"/>
  <c r="FI488" i="1"/>
  <c r="FJ488" i="1"/>
  <c r="FK488" i="1"/>
  <c r="FL488" i="1"/>
  <c r="FM488" i="1"/>
  <c r="FN488" i="1"/>
  <c r="FO488" i="1"/>
  <c r="FP488" i="1"/>
  <c r="FQ488" i="1"/>
  <c r="FR488" i="1"/>
  <c r="FS488" i="1"/>
  <c r="FT488" i="1"/>
  <c r="FU488" i="1"/>
  <c r="FV488" i="1"/>
  <c r="FW488" i="1"/>
  <c r="FX488" i="1"/>
  <c r="FY488" i="1"/>
  <c r="FZ488" i="1"/>
  <c r="GA488" i="1"/>
  <c r="GB488" i="1"/>
  <c r="GC488" i="1"/>
  <c r="GD488" i="1"/>
  <c r="GE488" i="1"/>
  <c r="GF488" i="1"/>
  <c r="GG488" i="1"/>
  <c r="GH488" i="1"/>
  <c r="GI488" i="1"/>
  <c r="GJ488" i="1"/>
  <c r="GK488" i="1"/>
  <c r="GL488" i="1"/>
  <c r="GM488" i="1"/>
  <c r="GN488" i="1"/>
  <c r="GO488" i="1"/>
  <c r="GP488" i="1"/>
  <c r="GQ488" i="1"/>
  <c r="GR488" i="1"/>
  <c r="GS488" i="1"/>
  <c r="GT488" i="1"/>
  <c r="GU488" i="1"/>
  <c r="GV488" i="1"/>
  <c r="GW488" i="1"/>
  <c r="GX488" i="1"/>
  <c r="D490" i="1"/>
  <c r="E492" i="1"/>
  <c r="Z492" i="1"/>
  <c r="AA492" i="1"/>
  <c r="AM492" i="1"/>
  <c r="AN492" i="1"/>
  <c r="BE492" i="1"/>
  <c r="BF492" i="1"/>
  <c r="BG492" i="1"/>
  <c r="BH492" i="1"/>
  <c r="BI492" i="1"/>
  <c r="BJ492" i="1"/>
  <c r="BK492" i="1"/>
  <c r="BL492" i="1"/>
  <c r="BM492" i="1"/>
  <c r="BN492" i="1"/>
  <c r="BO492" i="1"/>
  <c r="BP492" i="1"/>
  <c r="BQ492" i="1"/>
  <c r="BR492" i="1"/>
  <c r="BS492" i="1"/>
  <c r="BT492" i="1"/>
  <c r="BU492" i="1"/>
  <c r="BV492" i="1"/>
  <c r="BW492" i="1"/>
  <c r="CN492" i="1"/>
  <c r="CO492" i="1"/>
  <c r="CP492" i="1"/>
  <c r="CQ492" i="1"/>
  <c r="CR492" i="1"/>
  <c r="CS492" i="1"/>
  <c r="CT492" i="1"/>
  <c r="CU492" i="1"/>
  <c r="CV492" i="1"/>
  <c r="CW492" i="1"/>
  <c r="CX492" i="1"/>
  <c r="CY492" i="1"/>
  <c r="CZ492" i="1"/>
  <c r="DA492" i="1"/>
  <c r="DB492" i="1"/>
  <c r="DC492" i="1"/>
  <c r="DD492" i="1"/>
  <c r="DE492" i="1"/>
  <c r="DF492" i="1"/>
  <c r="DG492" i="1"/>
  <c r="DH492" i="1"/>
  <c r="DI492" i="1"/>
  <c r="DJ492" i="1"/>
  <c r="DK492" i="1"/>
  <c r="DL492" i="1"/>
  <c r="DM492" i="1"/>
  <c r="DN492" i="1"/>
  <c r="DO492" i="1"/>
  <c r="DP492" i="1"/>
  <c r="DQ492" i="1"/>
  <c r="DR492" i="1"/>
  <c r="DS492" i="1"/>
  <c r="DT492" i="1"/>
  <c r="DU492" i="1"/>
  <c r="DV492" i="1"/>
  <c r="DW492" i="1"/>
  <c r="DX492" i="1"/>
  <c r="DY492" i="1"/>
  <c r="DZ492" i="1"/>
  <c r="EA492" i="1"/>
  <c r="EB492" i="1"/>
  <c r="EC492" i="1"/>
  <c r="ED492" i="1"/>
  <c r="EE492" i="1"/>
  <c r="EF492" i="1"/>
  <c r="EG492" i="1"/>
  <c r="EH492" i="1"/>
  <c r="EI492" i="1"/>
  <c r="EJ492" i="1"/>
  <c r="EK492" i="1"/>
  <c r="EL492" i="1"/>
  <c r="EM492" i="1"/>
  <c r="EN492" i="1"/>
  <c r="EO492" i="1"/>
  <c r="EP492" i="1"/>
  <c r="EQ492" i="1"/>
  <c r="ER492" i="1"/>
  <c r="ES492" i="1"/>
  <c r="ET492" i="1"/>
  <c r="EU492" i="1"/>
  <c r="EV492" i="1"/>
  <c r="EW492" i="1"/>
  <c r="EX492" i="1"/>
  <c r="EY492" i="1"/>
  <c r="EZ492" i="1"/>
  <c r="FA492" i="1"/>
  <c r="FB492" i="1"/>
  <c r="FC492" i="1"/>
  <c r="FD492" i="1"/>
  <c r="FE492" i="1"/>
  <c r="FF492" i="1"/>
  <c r="FG492" i="1"/>
  <c r="FH492" i="1"/>
  <c r="FI492" i="1"/>
  <c r="FJ492" i="1"/>
  <c r="FK492" i="1"/>
  <c r="FL492" i="1"/>
  <c r="FM492" i="1"/>
  <c r="FN492" i="1"/>
  <c r="FO492" i="1"/>
  <c r="FP492" i="1"/>
  <c r="FQ492" i="1"/>
  <c r="FR492" i="1"/>
  <c r="FS492" i="1"/>
  <c r="FT492" i="1"/>
  <c r="FU492" i="1"/>
  <c r="FV492" i="1"/>
  <c r="FW492" i="1"/>
  <c r="FX492" i="1"/>
  <c r="FY492" i="1"/>
  <c r="FZ492" i="1"/>
  <c r="GA492" i="1"/>
  <c r="GB492" i="1"/>
  <c r="GC492" i="1"/>
  <c r="GD492" i="1"/>
  <c r="GE492" i="1"/>
  <c r="GF492" i="1"/>
  <c r="GG492" i="1"/>
  <c r="GH492" i="1"/>
  <c r="GI492" i="1"/>
  <c r="GJ492" i="1"/>
  <c r="GK492" i="1"/>
  <c r="GL492" i="1"/>
  <c r="GM492" i="1"/>
  <c r="GN492" i="1"/>
  <c r="GO492" i="1"/>
  <c r="GP492" i="1"/>
  <c r="GQ492" i="1"/>
  <c r="GR492" i="1"/>
  <c r="GS492" i="1"/>
  <c r="GT492" i="1"/>
  <c r="GU492" i="1"/>
  <c r="GV492" i="1"/>
  <c r="GW492" i="1"/>
  <c r="GX492" i="1"/>
  <c r="C494" i="1"/>
  <c r="D494" i="1"/>
  <c r="AC494" i="1"/>
  <c r="AE494" i="1"/>
  <c r="AF494" i="1"/>
  <c r="CT494" i="1" s="1"/>
  <c r="S494" i="1" s="1"/>
  <c r="AG494" i="1"/>
  <c r="CU494" i="1" s="1"/>
  <c r="T494" i="1" s="1"/>
  <c r="AH494" i="1"/>
  <c r="CV494" i="1" s="1"/>
  <c r="U494" i="1" s="1"/>
  <c r="AI494" i="1"/>
  <c r="CW494" i="1" s="1"/>
  <c r="V494" i="1" s="1"/>
  <c r="AJ494" i="1"/>
  <c r="CX494" i="1"/>
  <c r="W494" i="1" s="1"/>
  <c r="FR494" i="1"/>
  <c r="GL494" i="1"/>
  <c r="GN494" i="1"/>
  <c r="GO494" i="1"/>
  <c r="GV494" i="1"/>
  <c r="HC494" i="1" s="1"/>
  <c r="GX494" i="1" s="1"/>
  <c r="C495" i="1"/>
  <c r="D495" i="1"/>
  <c r="R495" i="1"/>
  <c r="GK495" i="1" s="1"/>
  <c r="T495" i="1"/>
  <c r="AC495" i="1"/>
  <c r="AE495" i="1"/>
  <c r="AD495" i="1" s="1"/>
  <c r="AF495" i="1"/>
  <c r="AG495" i="1"/>
  <c r="AH495" i="1"/>
  <c r="CV495" i="1" s="1"/>
  <c r="U495" i="1" s="1"/>
  <c r="AI495" i="1"/>
  <c r="AJ495" i="1"/>
  <c r="CX495" i="1" s="1"/>
  <c r="W495" i="1" s="1"/>
  <c r="CQ495" i="1"/>
  <c r="P495" i="1" s="1"/>
  <c r="CR495" i="1"/>
  <c r="Q495" i="1" s="1"/>
  <c r="CS495" i="1"/>
  <c r="CT495" i="1"/>
  <c r="S495" i="1" s="1"/>
  <c r="CU495" i="1"/>
  <c r="CW495" i="1"/>
  <c r="V495" i="1" s="1"/>
  <c r="FR495" i="1"/>
  <c r="GL495" i="1"/>
  <c r="GN495" i="1"/>
  <c r="GO495" i="1"/>
  <c r="GV495" i="1"/>
  <c r="HC495" i="1"/>
  <c r="GX495" i="1" s="1"/>
  <c r="D496" i="1"/>
  <c r="V496" i="1"/>
  <c r="AC496" i="1"/>
  <c r="CQ496" i="1" s="1"/>
  <c r="P496" i="1" s="1"/>
  <c r="AE496" i="1"/>
  <c r="CR496" i="1" s="1"/>
  <c r="Q496" i="1" s="1"/>
  <c r="AF496" i="1"/>
  <c r="CT496" i="1" s="1"/>
  <c r="S496" i="1" s="1"/>
  <c r="AG496" i="1"/>
  <c r="CU496" i="1" s="1"/>
  <c r="T496" i="1" s="1"/>
  <c r="AH496" i="1"/>
  <c r="AI496" i="1"/>
  <c r="CW496" i="1" s="1"/>
  <c r="AJ496" i="1"/>
  <c r="CS496" i="1"/>
  <c r="R496" i="1" s="1"/>
  <c r="GK496" i="1" s="1"/>
  <c r="CV496" i="1"/>
  <c r="U496" i="1" s="1"/>
  <c r="CX496" i="1"/>
  <c r="W496" i="1" s="1"/>
  <c r="CY496" i="1"/>
  <c r="X496" i="1" s="1"/>
  <c r="CZ496" i="1"/>
  <c r="Y496" i="1" s="1"/>
  <c r="FR496" i="1"/>
  <c r="GL496" i="1"/>
  <c r="GN496" i="1"/>
  <c r="GO496" i="1"/>
  <c r="GV496" i="1"/>
  <c r="HC496" i="1"/>
  <c r="GX496" i="1" s="1"/>
  <c r="D497" i="1"/>
  <c r="P497" i="1"/>
  <c r="AC497" i="1"/>
  <c r="AE497" i="1"/>
  <c r="AF497" i="1"/>
  <c r="CT497" i="1" s="1"/>
  <c r="S497" i="1" s="1"/>
  <c r="AG497" i="1"/>
  <c r="CU497" i="1" s="1"/>
  <c r="T497" i="1" s="1"/>
  <c r="AH497" i="1"/>
  <c r="AI497" i="1"/>
  <c r="CW497" i="1" s="1"/>
  <c r="V497" i="1" s="1"/>
  <c r="AJ497" i="1"/>
  <c r="CX497" i="1" s="1"/>
  <c r="W497" i="1" s="1"/>
  <c r="CQ497" i="1"/>
  <c r="CS497" i="1"/>
  <c r="R497" i="1" s="1"/>
  <c r="GK497" i="1" s="1"/>
  <c r="CV497" i="1"/>
  <c r="U497" i="1" s="1"/>
  <c r="FR497" i="1"/>
  <c r="GL497" i="1"/>
  <c r="GN497" i="1"/>
  <c r="GO497" i="1"/>
  <c r="GV497" i="1"/>
  <c r="HC497" i="1"/>
  <c r="GX497" i="1" s="1"/>
  <c r="D498" i="1"/>
  <c r="AC498" i="1"/>
  <c r="AE498" i="1"/>
  <c r="AF498" i="1"/>
  <c r="AG498" i="1"/>
  <c r="AH498" i="1"/>
  <c r="AI498" i="1"/>
  <c r="AJ498" i="1"/>
  <c r="CX498" i="1" s="1"/>
  <c r="W498" i="1" s="1"/>
  <c r="CQ498" i="1"/>
  <c r="P498" i="1" s="1"/>
  <c r="CU498" i="1"/>
  <c r="T498" i="1" s="1"/>
  <c r="CV498" i="1"/>
  <c r="U498" i="1" s="1"/>
  <c r="CW498" i="1"/>
  <c r="V498" i="1" s="1"/>
  <c r="FR498" i="1"/>
  <c r="GL498" i="1"/>
  <c r="GN498" i="1"/>
  <c r="GO498" i="1"/>
  <c r="GV498" i="1"/>
  <c r="HC498" i="1"/>
  <c r="GX498" i="1" s="1"/>
  <c r="D499" i="1"/>
  <c r="I499" i="1"/>
  <c r="K499" i="1"/>
  <c r="AC499" i="1"/>
  <c r="CQ499" i="1" s="1"/>
  <c r="P499" i="1" s="1"/>
  <c r="AE499" i="1"/>
  <c r="AF499" i="1"/>
  <c r="AG499" i="1"/>
  <c r="AH499" i="1"/>
  <c r="AI499" i="1"/>
  <c r="AJ499" i="1"/>
  <c r="CU499" i="1"/>
  <c r="T499" i="1" s="1"/>
  <c r="CV499" i="1"/>
  <c r="U499" i="1" s="1"/>
  <c r="CW499" i="1"/>
  <c r="CX499" i="1"/>
  <c r="FR499" i="1"/>
  <c r="GL499" i="1"/>
  <c r="GN499" i="1"/>
  <c r="GO499" i="1"/>
  <c r="GV499" i="1"/>
  <c r="HC499" i="1"/>
  <c r="D500" i="1"/>
  <c r="I500" i="1"/>
  <c r="K500" i="1"/>
  <c r="AC500" i="1"/>
  <c r="CQ500" i="1" s="1"/>
  <c r="P500" i="1" s="1"/>
  <c r="AE500" i="1"/>
  <c r="AF500" i="1"/>
  <c r="CT500" i="1" s="1"/>
  <c r="S500" i="1" s="1"/>
  <c r="AG500" i="1"/>
  <c r="CU500" i="1" s="1"/>
  <c r="T500" i="1" s="1"/>
  <c r="AH500" i="1"/>
  <c r="CV500" i="1" s="1"/>
  <c r="U500" i="1" s="1"/>
  <c r="AI500" i="1"/>
  <c r="CW500" i="1" s="1"/>
  <c r="AJ500" i="1"/>
  <c r="CX500" i="1" s="1"/>
  <c r="FR500" i="1"/>
  <c r="GL500" i="1"/>
  <c r="GN500" i="1"/>
  <c r="GO500" i="1"/>
  <c r="GV500" i="1"/>
  <c r="HC500" i="1"/>
  <c r="GX500" i="1" s="1"/>
  <c r="C501" i="1"/>
  <c r="D501" i="1"/>
  <c r="AC501" i="1"/>
  <c r="AE501" i="1"/>
  <c r="AD501" i="1" s="1"/>
  <c r="AF501" i="1"/>
  <c r="AG501" i="1"/>
  <c r="CU501" i="1" s="1"/>
  <c r="T501" i="1" s="1"/>
  <c r="AH501" i="1"/>
  <c r="CV501" i="1" s="1"/>
  <c r="U501" i="1" s="1"/>
  <c r="AI501" i="1"/>
  <c r="CW501" i="1" s="1"/>
  <c r="V501" i="1" s="1"/>
  <c r="AJ501" i="1"/>
  <c r="CX501" i="1" s="1"/>
  <c r="W501" i="1" s="1"/>
  <c r="CQ501" i="1"/>
  <c r="P501" i="1" s="1"/>
  <c r="CT501" i="1"/>
  <c r="S501" i="1" s="1"/>
  <c r="FR501" i="1"/>
  <c r="GL501" i="1"/>
  <c r="GN501" i="1"/>
  <c r="GO501" i="1"/>
  <c r="GV501" i="1"/>
  <c r="HC501" i="1" s="1"/>
  <c r="GX501" i="1" s="1"/>
  <c r="C502" i="1"/>
  <c r="D502" i="1"/>
  <c r="AC502" i="1"/>
  <c r="CQ502" i="1" s="1"/>
  <c r="P502" i="1" s="1"/>
  <c r="AE502" i="1"/>
  <c r="AF502" i="1"/>
  <c r="CT502" i="1" s="1"/>
  <c r="S502" i="1" s="1"/>
  <c r="AG502" i="1"/>
  <c r="CU502" i="1" s="1"/>
  <c r="T502" i="1" s="1"/>
  <c r="AH502" i="1"/>
  <c r="CV502" i="1" s="1"/>
  <c r="U502" i="1" s="1"/>
  <c r="AI502" i="1"/>
  <c r="CW502" i="1" s="1"/>
  <c r="V502" i="1" s="1"/>
  <c r="AJ502" i="1"/>
  <c r="CX502" i="1"/>
  <c r="W502" i="1" s="1"/>
  <c r="FR502" i="1"/>
  <c r="GL502" i="1"/>
  <c r="GN502" i="1"/>
  <c r="GO502" i="1"/>
  <c r="GV502" i="1"/>
  <c r="HC502" i="1" s="1"/>
  <c r="GX502" i="1" s="1"/>
  <c r="C503" i="1"/>
  <c r="D503" i="1"/>
  <c r="AC503" i="1"/>
  <c r="AE503" i="1"/>
  <c r="AF503" i="1"/>
  <c r="AG503" i="1"/>
  <c r="CU503" i="1" s="1"/>
  <c r="T503" i="1" s="1"/>
  <c r="AH503" i="1"/>
  <c r="CV503" i="1" s="1"/>
  <c r="U503" i="1" s="1"/>
  <c r="AI503" i="1"/>
  <c r="CW503" i="1" s="1"/>
  <c r="V503" i="1" s="1"/>
  <c r="AJ503" i="1"/>
  <c r="CX503" i="1" s="1"/>
  <c r="W503" i="1" s="1"/>
  <c r="CS503" i="1"/>
  <c r="FR503" i="1"/>
  <c r="GL503" i="1"/>
  <c r="GN503" i="1"/>
  <c r="GO503" i="1"/>
  <c r="GV503" i="1"/>
  <c r="HC503" i="1"/>
  <c r="GX503" i="1" s="1"/>
  <c r="D504" i="1"/>
  <c r="V504" i="1"/>
  <c r="AC504" i="1"/>
  <c r="CQ504" i="1" s="1"/>
  <c r="P504" i="1" s="1"/>
  <c r="AE504" i="1"/>
  <c r="AF504" i="1"/>
  <c r="CT504" i="1" s="1"/>
  <c r="S504" i="1" s="1"/>
  <c r="AG504" i="1"/>
  <c r="CU504" i="1" s="1"/>
  <c r="T504" i="1" s="1"/>
  <c r="AH504" i="1"/>
  <c r="AI504" i="1"/>
  <c r="CW504" i="1" s="1"/>
  <c r="AJ504" i="1"/>
  <c r="CX504" i="1" s="1"/>
  <c r="W504" i="1" s="1"/>
  <c r="CV504" i="1"/>
  <c r="U504" i="1" s="1"/>
  <c r="FR504" i="1"/>
  <c r="GL504" i="1"/>
  <c r="GN504" i="1"/>
  <c r="GO504" i="1"/>
  <c r="GV504" i="1"/>
  <c r="HC504" i="1" s="1"/>
  <c r="GX504" i="1" s="1"/>
  <c r="D505" i="1"/>
  <c r="U505" i="1"/>
  <c r="AC505" i="1"/>
  <c r="CQ505" i="1" s="1"/>
  <c r="P505" i="1" s="1"/>
  <c r="AE505" i="1"/>
  <c r="AF505" i="1"/>
  <c r="AG505" i="1"/>
  <c r="CU505" i="1" s="1"/>
  <c r="T505" i="1" s="1"/>
  <c r="AH505" i="1"/>
  <c r="AI505" i="1"/>
  <c r="CW505" i="1" s="1"/>
  <c r="V505" i="1" s="1"/>
  <c r="AJ505" i="1"/>
  <c r="CX505" i="1" s="1"/>
  <c r="W505" i="1" s="1"/>
  <c r="CT505" i="1"/>
  <c r="S505" i="1" s="1"/>
  <c r="CV505" i="1"/>
  <c r="FR505" i="1"/>
  <c r="GL505" i="1"/>
  <c r="GN505" i="1"/>
  <c r="GO505" i="1"/>
  <c r="GV505" i="1"/>
  <c r="HC505" i="1" s="1"/>
  <c r="GX505" i="1" s="1"/>
  <c r="D506" i="1"/>
  <c r="AC506" i="1"/>
  <c r="AE506" i="1"/>
  <c r="AF506" i="1"/>
  <c r="AG506" i="1"/>
  <c r="CU506" i="1" s="1"/>
  <c r="T506" i="1" s="1"/>
  <c r="AH506" i="1"/>
  <c r="CV506" i="1" s="1"/>
  <c r="U506" i="1" s="1"/>
  <c r="AI506" i="1"/>
  <c r="CW506" i="1" s="1"/>
  <c r="V506" i="1" s="1"/>
  <c r="AJ506" i="1"/>
  <c r="CX506" i="1" s="1"/>
  <c r="W506" i="1" s="1"/>
  <c r="FR506" i="1"/>
  <c r="GL506" i="1"/>
  <c r="GN506" i="1"/>
  <c r="GO506" i="1"/>
  <c r="GV506" i="1"/>
  <c r="HC506" i="1" s="1"/>
  <c r="GX506" i="1" s="1"/>
  <c r="D507" i="1"/>
  <c r="Q507" i="1"/>
  <c r="T507" i="1"/>
  <c r="AC507" i="1"/>
  <c r="CQ507" i="1" s="1"/>
  <c r="P507" i="1" s="1"/>
  <c r="AE507" i="1"/>
  <c r="AF507" i="1"/>
  <c r="AG507" i="1"/>
  <c r="CU507" i="1" s="1"/>
  <c r="AH507" i="1"/>
  <c r="AI507" i="1"/>
  <c r="CW507" i="1" s="1"/>
  <c r="V507" i="1" s="1"/>
  <c r="AJ507" i="1"/>
  <c r="CR507" i="1"/>
  <c r="CS507" i="1"/>
  <c r="CT507" i="1"/>
  <c r="S507" i="1" s="1"/>
  <c r="CV507" i="1"/>
  <c r="U507" i="1" s="1"/>
  <c r="CX507" i="1"/>
  <c r="W507" i="1" s="1"/>
  <c r="FR507" i="1"/>
  <c r="GL507" i="1"/>
  <c r="GN507" i="1"/>
  <c r="GO507" i="1"/>
  <c r="GV507" i="1"/>
  <c r="HC507" i="1"/>
  <c r="GX507" i="1" s="1"/>
  <c r="D508" i="1"/>
  <c r="AC508" i="1"/>
  <c r="CQ508" i="1" s="1"/>
  <c r="P508" i="1" s="1"/>
  <c r="AE508" i="1"/>
  <c r="AF508" i="1"/>
  <c r="AG508" i="1"/>
  <c r="CU508" i="1" s="1"/>
  <c r="T508" i="1" s="1"/>
  <c r="AH508" i="1"/>
  <c r="AI508" i="1"/>
  <c r="CW508" i="1" s="1"/>
  <c r="V508" i="1" s="1"/>
  <c r="AJ508" i="1"/>
  <c r="CX508" i="1" s="1"/>
  <c r="W508" i="1" s="1"/>
  <c r="CT508" i="1"/>
  <c r="S508" i="1" s="1"/>
  <c r="CY508" i="1" s="1"/>
  <c r="X508" i="1" s="1"/>
  <c r="CV508" i="1"/>
  <c r="U508" i="1" s="1"/>
  <c r="FR508" i="1"/>
  <c r="GL508" i="1"/>
  <c r="GN508" i="1"/>
  <c r="GO508" i="1"/>
  <c r="GV508" i="1"/>
  <c r="HC508" i="1" s="1"/>
  <c r="GX508" i="1" s="1"/>
  <c r="C509" i="1"/>
  <c r="D509" i="1"/>
  <c r="AC509" i="1"/>
  <c r="CQ509" i="1" s="1"/>
  <c r="P509" i="1" s="1"/>
  <c r="AE509" i="1"/>
  <c r="AF509" i="1"/>
  <c r="CT509" i="1" s="1"/>
  <c r="S509" i="1" s="1"/>
  <c r="AG509" i="1"/>
  <c r="CU509" i="1" s="1"/>
  <c r="T509" i="1" s="1"/>
  <c r="AH509" i="1"/>
  <c r="CV509" i="1" s="1"/>
  <c r="U509" i="1" s="1"/>
  <c r="AI509" i="1"/>
  <c r="CW509" i="1" s="1"/>
  <c r="V509" i="1" s="1"/>
  <c r="AJ509" i="1"/>
  <c r="CX509" i="1"/>
  <c r="W509" i="1" s="1"/>
  <c r="FR509" i="1"/>
  <c r="GL509" i="1"/>
  <c r="GN509" i="1"/>
  <c r="GO509" i="1"/>
  <c r="GV509" i="1"/>
  <c r="HC509" i="1"/>
  <c r="GX509" i="1" s="1"/>
  <c r="C510" i="1"/>
  <c r="D510" i="1"/>
  <c r="I510" i="1"/>
  <c r="K510" i="1"/>
  <c r="AC510" i="1"/>
  <c r="CQ510" i="1" s="1"/>
  <c r="AE510" i="1"/>
  <c r="AF510" i="1"/>
  <c r="AG510" i="1"/>
  <c r="CU510" i="1" s="1"/>
  <c r="AH510" i="1"/>
  <c r="CV510" i="1" s="1"/>
  <c r="AI510" i="1"/>
  <c r="CW510" i="1" s="1"/>
  <c r="AJ510" i="1"/>
  <c r="CX510" i="1" s="1"/>
  <c r="FR510" i="1"/>
  <c r="GL510" i="1"/>
  <c r="GN510" i="1"/>
  <c r="GO510" i="1"/>
  <c r="GV510" i="1"/>
  <c r="HC510" i="1"/>
  <c r="C511" i="1"/>
  <c r="D511" i="1"/>
  <c r="AC511" i="1"/>
  <c r="CQ511" i="1" s="1"/>
  <c r="P511" i="1" s="1"/>
  <c r="AE511" i="1"/>
  <c r="CS511" i="1" s="1"/>
  <c r="R511" i="1" s="1"/>
  <c r="GK511" i="1" s="1"/>
  <c r="AF511" i="1"/>
  <c r="CT511" i="1" s="1"/>
  <c r="S511" i="1" s="1"/>
  <c r="CZ511" i="1" s="1"/>
  <c r="Y511" i="1" s="1"/>
  <c r="AG511" i="1"/>
  <c r="CU511" i="1" s="1"/>
  <c r="T511" i="1" s="1"/>
  <c r="AH511" i="1"/>
  <c r="AI511" i="1"/>
  <c r="AJ511" i="1"/>
  <c r="CX511" i="1" s="1"/>
  <c r="W511" i="1" s="1"/>
  <c r="CR511" i="1"/>
  <c r="Q511" i="1" s="1"/>
  <c r="CV511" i="1"/>
  <c r="U511" i="1" s="1"/>
  <c r="CW511" i="1"/>
  <c r="V511" i="1" s="1"/>
  <c r="CY511" i="1"/>
  <c r="X511" i="1" s="1"/>
  <c r="FR511" i="1"/>
  <c r="GL511" i="1"/>
  <c r="GN511" i="1"/>
  <c r="GO511" i="1"/>
  <c r="GV511" i="1"/>
  <c r="HC511" i="1" s="1"/>
  <c r="GX511" i="1" s="1"/>
  <c r="C512" i="1"/>
  <c r="D512" i="1"/>
  <c r="I512" i="1"/>
  <c r="K512" i="1"/>
  <c r="AC512" i="1"/>
  <c r="AE512" i="1"/>
  <c r="AF512" i="1"/>
  <c r="AG512" i="1"/>
  <c r="CU512" i="1" s="1"/>
  <c r="T512" i="1" s="1"/>
  <c r="AH512" i="1"/>
  <c r="AI512" i="1"/>
  <c r="CW512" i="1" s="1"/>
  <c r="AJ512" i="1"/>
  <c r="CQ512" i="1"/>
  <c r="CV512" i="1"/>
  <c r="CX512" i="1"/>
  <c r="W512" i="1" s="1"/>
  <c r="FR512" i="1"/>
  <c r="GL512" i="1"/>
  <c r="GN512" i="1"/>
  <c r="GO512" i="1"/>
  <c r="GV512" i="1"/>
  <c r="HC512" i="1" s="1"/>
  <c r="GX512" i="1" s="1"/>
  <c r="C513" i="1"/>
  <c r="D513" i="1"/>
  <c r="I513" i="1"/>
  <c r="CU63" i="3" s="1"/>
  <c r="K513" i="1"/>
  <c r="AC513" i="1"/>
  <c r="CQ513" i="1" s="1"/>
  <c r="P513" i="1" s="1"/>
  <c r="AE513" i="1"/>
  <c r="CR513" i="1" s="1"/>
  <c r="Q513" i="1" s="1"/>
  <c r="AF513" i="1"/>
  <c r="AG513" i="1"/>
  <c r="AH513" i="1"/>
  <c r="AI513" i="1"/>
  <c r="CW513" i="1" s="1"/>
  <c r="AJ513" i="1"/>
  <c r="CS513" i="1"/>
  <c r="R513" i="1" s="1"/>
  <c r="GK513" i="1" s="1"/>
  <c r="CT513" i="1"/>
  <c r="S513" i="1" s="1"/>
  <c r="CU513" i="1"/>
  <c r="T513" i="1" s="1"/>
  <c r="CV513" i="1"/>
  <c r="U513" i="1" s="1"/>
  <c r="CX513" i="1"/>
  <c r="W513" i="1" s="1"/>
  <c r="FR513" i="1"/>
  <c r="GL513" i="1"/>
  <c r="GN513" i="1"/>
  <c r="GO513" i="1"/>
  <c r="GV513" i="1"/>
  <c r="HC513" i="1" s="1"/>
  <c r="GX513" i="1" s="1"/>
  <c r="C514" i="1"/>
  <c r="D514" i="1"/>
  <c r="AC514" i="1"/>
  <c r="AE514" i="1"/>
  <c r="AF514" i="1"/>
  <c r="AG514" i="1"/>
  <c r="CU514" i="1" s="1"/>
  <c r="T514" i="1" s="1"/>
  <c r="AH514" i="1"/>
  <c r="CV514" i="1" s="1"/>
  <c r="U514" i="1" s="1"/>
  <c r="AI514" i="1"/>
  <c r="CW514" i="1" s="1"/>
  <c r="V514" i="1" s="1"/>
  <c r="AJ514" i="1"/>
  <c r="CX514" i="1" s="1"/>
  <c r="W514" i="1" s="1"/>
  <c r="FR514" i="1"/>
  <c r="GL514" i="1"/>
  <c r="GN514" i="1"/>
  <c r="GO514" i="1"/>
  <c r="GV514" i="1"/>
  <c r="HC514" i="1" s="1"/>
  <c r="GX514" i="1" s="1"/>
  <c r="C515" i="1"/>
  <c r="D515" i="1"/>
  <c r="V515" i="1"/>
  <c r="W515" i="1"/>
  <c r="AC515" i="1"/>
  <c r="CQ515" i="1" s="1"/>
  <c r="P515" i="1" s="1"/>
  <c r="AD515" i="1"/>
  <c r="AE515" i="1"/>
  <c r="AF515" i="1"/>
  <c r="AG515" i="1"/>
  <c r="AH515" i="1"/>
  <c r="CV515" i="1" s="1"/>
  <c r="U515" i="1" s="1"/>
  <c r="AI515" i="1"/>
  <c r="CW515" i="1" s="1"/>
  <c r="AJ515" i="1"/>
  <c r="CX515" i="1" s="1"/>
  <c r="CU515" i="1"/>
  <c r="T515" i="1" s="1"/>
  <c r="FR515" i="1"/>
  <c r="GL515" i="1"/>
  <c r="GN515" i="1"/>
  <c r="GO515" i="1"/>
  <c r="GV515" i="1"/>
  <c r="HC515" i="1"/>
  <c r="GX515" i="1" s="1"/>
  <c r="C516" i="1"/>
  <c r="D516" i="1"/>
  <c r="AC516" i="1"/>
  <c r="AE516" i="1"/>
  <c r="AF516" i="1"/>
  <c r="CT516" i="1" s="1"/>
  <c r="S516" i="1" s="1"/>
  <c r="AG516" i="1"/>
  <c r="CU516" i="1" s="1"/>
  <c r="T516" i="1" s="1"/>
  <c r="AH516" i="1"/>
  <c r="CV516" i="1" s="1"/>
  <c r="U516" i="1" s="1"/>
  <c r="AI516" i="1"/>
  <c r="CW516" i="1" s="1"/>
  <c r="V516" i="1" s="1"/>
  <c r="AJ516" i="1"/>
  <c r="CX516" i="1"/>
  <c r="W516" i="1" s="1"/>
  <c r="FR516" i="1"/>
  <c r="GL516" i="1"/>
  <c r="GN516" i="1"/>
  <c r="GO516" i="1"/>
  <c r="GV516" i="1"/>
  <c r="HC516" i="1" s="1"/>
  <c r="GX516" i="1" s="1"/>
  <c r="C517" i="1"/>
  <c r="D517" i="1"/>
  <c r="I517" i="1"/>
  <c r="K517" i="1"/>
  <c r="V517" i="1"/>
  <c r="AC517" i="1"/>
  <c r="CQ517" i="1" s="1"/>
  <c r="P517" i="1" s="1"/>
  <c r="AE517" i="1"/>
  <c r="AF517" i="1"/>
  <c r="AG517" i="1"/>
  <c r="CU517" i="1" s="1"/>
  <c r="T517" i="1" s="1"/>
  <c r="AH517" i="1"/>
  <c r="CV517" i="1" s="1"/>
  <c r="U517" i="1" s="1"/>
  <c r="AI517" i="1"/>
  <c r="CW517" i="1" s="1"/>
  <c r="AJ517" i="1"/>
  <c r="CX517" i="1" s="1"/>
  <c r="W517" i="1" s="1"/>
  <c r="FR517" i="1"/>
  <c r="GL517" i="1"/>
  <c r="GN517" i="1"/>
  <c r="GO517" i="1"/>
  <c r="GV517" i="1"/>
  <c r="HC517" i="1" s="1"/>
  <c r="C518" i="1"/>
  <c r="D518" i="1"/>
  <c r="I518" i="1"/>
  <c r="K518" i="1"/>
  <c r="AC518" i="1"/>
  <c r="AE518" i="1"/>
  <c r="AF518" i="1"/>
  <c r="CT518" i="1" s="1"/>
  <c r="S518" i="1" s="1"/>
  <c r="AG518" i="1"/>
  <c r="CU518" i="1" s="1"/>
  <c r="T518" i="1" s="1"/>
  <c r="AH518" i="1"/>
  <c r="CV518" i="1" s="1"/>
  <c r="U518" i="1" s="1"/>
  <c r="AI518" i="1"/>
  <c r="CW518" i="1" s="1"/>
  <c r="V518" i="1" s="1"/>
  <c r="AJ518" i="1"/>
  <c r="CX518" i="1"/>
  <c r="W518" i="1" s="1"/>
  <c r="FR518" i="1"/>
  <c r="GL518" i="1"/>
  <c r="GN518" i="1"/>
  <c r="GO518" i="1"/>
  <c r="GV518" i="1"/>
  <c r="HC518" i="1"/>
  <c r="C519" i="1"/>
  <c r="D519" i="1"/>
  <c r="AC519" i="1"/>
  <c r="AE519" i="1"/>
  <c r="AF519" i="1"/>
  <c r="AG519" i="1"/>
  <c r="CU519" i="1" s="1"/>
  <c r="T519" i="1" s="1"/>
  <c r="AH519" i="1"/>
  <c r="AI519" i="1"/>
  <c r="CW519" i="1" s="1"/>
  <c r="V519" i="1" s="1"/>
  <c r="AJ519" i="1"/>
  <c r="CX519" i="1" s="1"/>
  <c r="W519" i="1" s="1"/>
  <c r="CQ519" i="1"/>
  <c r="P519" i="1" s="1"/>
  <c r="CR519" i="1"/>
  <c r="Q519" i="1" s="1"/>
  <c r="CV519" i="1"/>
  <c r="U519" i="1" s="1"/>
  <c r="FR519" i="1"/>
  <c r="GL519" i="1"/>
  <c r="GN519" i="1"/>
  <c r="GO519" i="1"/>
  <c r="GV519" i="1"/>
  <c r="HC519" i="1" s="1"/>
  <c r="GX519" i="1" s="1"/>
  <c r="C520" i="1"/>
  <c r="D520" i="1"/>
  <c r="AC520" i="1"/>
  <c r="CQ520" i="1" s="1"/>
  <c r="P520" i="1" s="1"/>
  <c r="AE520" i="1"/>
  <c r="AF520" i="1"/>
  <c r="AG520" i="1"/>
  <c r="AH520" i="1"/>
  <c r="CV520" i="1" s="1"/>
  <c r="U520" i="1" s="1"/>
  <c r="AI520" i="1"/>
  <c r="AJ520" i="1"/>
  <c r="CU520" i="1"/>
  <c r="T520" i="1" s="1"/>
  <c r="CW520" i="1"/>
  <c r="V520" i="1" s="1"/>
  <c r="CX520" i="1"/>
  <c r="W520" i="1" s="1"/>
  <c r="FR520" i="1"/>
  <c r="GL520" i="1"/>
  <c r="GN520" i="1"/>
  <c r="GO520" i="1"/>
  <c r="GV520" i="1"/>
  <c r="HC520" i="1"/>
  <c r="GX520" i="1" s="1"/>
  <c r="C521" i="1"/>
  <c r="D521" i="1"/>
  <c r="AC521" i="1"/>
  <c r="AE521" i="1"/>
  <c r="AD521" i="1" s="1"/>
  <c r="AF521" i="1"/>
  <c r="CT521" i="1" s="1"/>
  <c r="S521" i="1" s="1"/>
  <c r="AG521" i="1"/>
  <c r="CU521" i="1" s="1"/>
  <c r="T521" i="1" s="1"/>
  <c r="AH521" i="1"/>
  <c r="CV521" i="1" s="1"/>
  <c r="U521" i="1" s="1"/>
  <c r="AI521" i="1"/>
  <c r="CW521" i="1" s="1"/>
  <c r="V521" i="1" s="1"/>
  <c r="AJ521" i="1"/>
  <c r="CX521" i="1" s="1"/>
  <c r="W521" i="1" s="1"/>
  <c r="CQ521" i="1"/>
  <c r="P521" i="1" s="1"/>
  <c r="CR521" i="1"/>
  <c r="Q521" i="1" s="1"/>
  <c r="CS521" i="1"/>
  <c r="R521" i="1" s="1"/>
  <c r="GK521" i="1" s="1"/>
  <c r="FR521" i="1"/>
  <c r="GL521" i="1"/>
  <c r="GN521" i="1"/>
  <c r="GO521" i="1"/>
  <c r="GV521" i="1"/>
  <c r="HC521" i="1" s="1"/>
  <c r="GX521" i="1"/>
  <c r="C522" i="1"/>
  <c r="D522" i="1"/>
  <c r="I522" i="1"/>
  <c r="K522" i="1"/>
  <c r="AC522" i="1"/>
  <c r="CQ522" i="1" s="1"/>
  <c r="P522" i="1" s="1"/>
  <c r="AE522" i="1"/>
  <c r="AF522" i="1"/>
  <c r="AG522" i="1"/>
  <c r="CU522" i="1" s="1"/>
  <c r="T522" i="1" s="1"/>
  <c r="AH522" i="1"/>
  <c r="CV522" i="1" s="1"/>
  <c r="U522" i="1" s="1"/>
  <c r="AI522" i="1"/>
  <c r="CW522" i="1" s="1"/>
  <c r="V522" i="1" s="1"/>
  <c r="AJ522" i="1"/>
  <c r="CX522" i="1"/>
  <c r="W522" i="1" s="1"/>
  <c r="FR522" i="1"/>
  <c r="GL522" i="1"/>
  <c r="GN522" i="1"/>
  <c r="GO522" i="1"/>
  <c r="GV522" i="1"/>
  <c r="HC522" i="1" s="1"/>
  <c r="GX522" i="1" s="1"/>
  <c r="C523" i="1"/>
  <c r="D523" i="1"/>
  <c r="I523" i="1"/>
  <c r="K523" i="1"/>
  <c r="Q523" i="1"/>
  <c r="AC523" i="1"/>
  <c r="CQ523" i="1" s="1"/>
  <c r="P523" i="1" s="1"/>
  <c r="CP523" i="1" s="1"/>
  <c r="O523" i="1" s="1"/>
  <c r="AD523" i="1"/>
  <c r="AE523" i="1"/>
  <c r="AF523" i="1"/>
  <c r="CT523" i="1" s="1"/>
  <c r="S523" i="1" s="1"/>
  <c r="CZ523" i="1" s="1"/>
  <c r="Y523" i="1" s="1"/>
  <c r="AG523" i="1"/>
  <c r="AH523" i="1"/>
  <c r="AI523" i="1"/>
  <c r="CW523" i="1" s="1"/>
  <c r="AJ523" i="1"/>
  <c r="CR523" i="1"/>
  <c r="CS523" i="1"/>
  <c r="R523" i="1" s="1"/>
  <c r="GK523" i="1" s="1"/>
  <c r="CU523" i="1"/>
  <c r="T523" i="1" s="1"/>
  <c r="CV523" i="1"/>
  <c r="U523" i="1" s="1"/>
  <c r="CX523" i="1"/>
  <c r="W523" i="1" s="1"/>
  <c r="FR523" i="1"/>
  <c r="GL523" i="1"/>
  <c r="GN523" i="1"/>
  <c r="GO523" i="1"/>
  <c r="GV523" i="1"/>
  <c r="HC523" i="1"/>
  <c r="GX523" i="1" s="1"/>
  <c r="C524" i="1"/>
  <c r="D524" i="1"/>
  <c r="P524" i="1"/>
  <c r="Q524" i="1"/>
  <c r="S524" i="1"/>
  <c r="AC524" i="1"/>
  <c r="AE524" i="1"/>
  <c r="AF524" i="1"/>
  <c r="AG524" i="1"/>
  <c r="CU524" i="1" s="1"/>
  <c r="T524" i="1" s="1"/>
  <c r="AH524" i="1"/>
  <c r="CV524" i="1" s="1"/>
  <c r="U524" i="1" s="1"/>
  <c r="AI524" i="1"/>
  <c r="CW524" i="1" s="1"/>
  <c r="V524" i="1" s="1"/>
  <c r="AJ524" i="1"/>
  <c r="CX524" i="1" s="1"/>
  <c r="W524" i="1" s="1"/>
  <c r="CQ524" i="1"/>
  <c r="CR524" i="1"/>
  <c r="CS524" i="1"/>
  <c r="CT524" i="1"/>
  <c r="FR524" i="1"/>
  <c r="GL524" i="1"/>
  <c r="GN524" i="1"/>
  <c r="GO524" i="1"/>
  <c r="GV524" i="1"/>
  <c r="HC524" i="1"/>
  <c r="GX524" i="1" s="1"/>
  <c r="C525" i="1"/>
  <c r="D525" i="1"/>
  <c r="AC525" i="1"/>
  <c r="CQ525" i="1" s="1"/>
  <c r="P525" i="1" s="1"/>
  <c r="AE525" i="1"/>
  <c r="AF525" i="1"/>
  <c r="AG525" i="1"/>
  <c r="AH525" i="1"/>
  <c r="AI525" i="1"/>
  <c r="AJ525" i="1"/>
  <c r="CR525" i="1"/>
  <c r="Q525" i="1" s="1"/>
  <c r="CS525" i="1"/>
  <c r="CU525" i="1"/>
  <c r="T525" i="1" s="1"/>
  <c r="CV525" i="1"/>
  <c r="U525" i="1" s="1"/>
  <c r="CW525" i="1"/>
  <c r="V525" i="1" s="1"/>
  <c r="CX525" i="1"/>
  <c r="W525" i="1" s="1"/>
  <c r="FR525" i="1"/>
  <c r="GL525" i="1"/>
  <c r="GN525" i="1"/>
  <c r="GO525" i="1"/>
  <c r="GV525" i="1"/>
  <c r="HC525" i="1" s="1"/>
  <c r="GX525" i="1"/>
  <c r="C526" i="1"/>
  <c r="D526" i="1"/>
  <c r="P526" i="1"/>
  <c r="Q526" i="1"/>
  <c r="S526" i="1"/>
  <c r="AC526" i="1"/>
  <c r="AE526" i="1"/>
  <c r="AD526" i="1" s="1"/>
  <c r="AF526" i="1"/>
  <c r="CT526" i="1" s="1"/>
  <c r="AG526" i="1"/>
  <c r="CU526" i="1" s="1"/>
  <c r="T526" i="1" s="1"/>
  <c r="AH526" i="1"/>
  <c r="CV526" i="1" s="1"/>
  <c r="U526" i="1" s="1"/>
  <c r="AI526" i="1"/>
  <c r="CW526" i="1" s="1"/>
  <c r="V526" i="1" s="1"/>
  <c r="AJ526" i="1"/>
  <c r="CX526" i="1" s="1"/>
  <c r="W526" i="1" s="1"/>
  <c r="CQ526" i="1"/>
  <c r="CR526" i="1"/>
  <c r="CS526" i="1"/>
  <c r="R526" i="1" s="1"/>
  <c r="GK526" i="1" s="1"/>
  <c r="FR526" i="1"/>
  <c r="GL526" i="1"/>
  <c r="GN526" i="1"/>
  <c r="GO526" i="1"/>
  <c r="GV526" i="1"/>
  <c r="HC526" i="1" s="1"/>
  <c r="GX526" i="1" s="1"/>
  <c r="C527" i="1"/>
  <c r="D527" i="1"/>
  <c r="I527" i="1"/>
  <c r="K527" i="1"/>
  <c r="R527" i="1"/>
  <c r="GK527" i="1" s="1"/>
  <c r="AC527" i="1"/>
  <c r="AE527" i="1"/>
  <c r="CR527" i="1" s="1"/>
  <c r="Q527" i="1" s="1"/>
  <c r="AF527" i="1"/>
  <c r="AG527" i="1"/>
  <c r="CU527" i="1" s="1"/>
  <c r="T527" i="1" s="1"/>
  <c r="AH527" i="1"/>
  <c r="CV527" i="1" s="1"/>
  <c r="U527" i="1" s="1"/>
  <c r="AI527" i="1"/>
  <c r="CW527" i="1" s="1"/>
  <c r="V527" i="1" s="1"/>
  <c r="AJ527" i="1"/>
  <c r="CX527" i="1" s="1"/>
  <c r="W527" i="1" s="1"/>
  <c r="CQ527" i="1"/>
  <c r="P527" i="1" s="1"/>
  <c r="CS527" i="1"/>
  <c r="FR527" i="1"/>
  <c r="GL527" i="1"/>
  <c r="GN527" i="1"/>
  <c r="GO527" i="1"/>
  <c r="GV527" i="1"/>
  <c r="HC527" i="1" s="1"/>
  <c r="GX527" i="1" s="1"/>
  <c r="C528" i="1"/>
  <c r="D528" i="1"/>
  <c r="I528" i="1"/>
  <c r="K528" i="1"/>
  <c r="AC528" i="1"/>
  <c r="CQ528" i="1" s="1"/>
  <c r="P528" i="1" s="1"/>
  <c r="AE528" i="1"/>
  <c r="AF528" i="1"/>
  <c r="CT528" i="1" s="1"/>
  <c r="S528" i="1" s="1"/>
  <c r="AG528" i="1"/>
  <c r="CU528" i="1" s="1"/>
  <c r="T528" i="1" s="1"/>
  <c r="AH528" i="1"/>
  <c r="AI528" i="1"/>
  <c r="CW528" i="1" s="1"/>
  <c r="V528" i="1" s="1"/>
  <c r="AJ528" i="1"/>
  <c r="CX528" i="1" s="1"/>
  <c r="W528" i="1" s="1"/>
  <c r="CV528" i="1"/>
  <c r="U528" i="1" s="1"/>
  <c r="FR528" i="1"/>
  <c r="GL528" i="1"/>
  <c r="GN528" i="1"/>
  <c r="GO528" i="1"/>
  <c r="GV528" i="1"/>
  <c r="HC528" i="1"/>
  <c r="GX528" i="1" s="1"/>
  <c r="C529" i="1"/>
  <c r="D529" i="1"/>
  <c r="Q529" i="1"/>
  <c r="AC529" i="1"/>
  <c r="AE529" i="1"/>
  <c r="AF529" i="1"/>
  <c r="AG529" i="1"/>
  <c r="CU529" i="1" s="1"/>
  <c r="T529" i="1" s="1"/>
  <c r="AH529" i="1"/>
  <c r="CV529" i="1" s="1"/>
  <c r="U529" i="1" s="1"/>
  <c r="AI529" i="1"/>
  <c r="CW529" i="1" s="1"/>
  <c r="V529" i="1" s="1"/>
  <c r="AJ529" i="1"/>
  <c r="CX529" i="1" s="1"/>
  <c r="W529" i="1" s="1"/>
  <c r="CQ529" i="1"/>
  <c r="P529" i="1" s="1"/>
  <c r="CR529" i="1"/>
  <c r="FR529" i="1"/>
  <c r="GL529" i="1"/>
  <c r="GN529" i="1"/>
  <c r="GO529" i="1"/>
  <c r="GV529" i="1"/>
  <c r="HC529" i="1" s="1"/>
  <c r="GX529" i="1"/>
  <c r="C530" i="1"/>
  <c r="D530" i="1"/>
  <c r="AC530" i="1"/>
  <c r="CQ530" i="1" s="1"/>
  <c r="P530" i="1" s="1"/>
  <c r="AE530" i="1"/>
  <c r="AF530" i="1"/>
  <c r="AG530" i="1"/>
  <c r="CU530" i="1" s="1"/>
  <c r="T530" i="1" s="1"/>
  <c r="AH530" i="1"/>
  <c r="AI530" i="1"/>
  <c r="AJ530" i="1"/>
  <c r="CR530" i="1"/>
  <c r="Q530" i="1" s="1"/>
  <c r="CS530" i="1"/>
  <c r="CT530" i="1"/>
  <c r="S530" i="1" s="1"/>
  <c r="CV530" i="1"/>
  <c r="U530" i="1" s="1"/>
  <c r="CW530" i="1"/>
  <c r="V530" i="1" s="1"/>
  <c r="CX530" i="1"/>
  <c r="W530" i="1" s="1"/>
  <c r="FR530" i="1"/>
  <c r="GL530" i="1"/>
  <c r="GN530" i="1"/>
  <c r="GO530" i="1"/>
  <c r="GV530" i="1"/>
  <c r="HC530" i="1"/>
  <c r="GX530" i="1" s="1"/>
  <c r="C531" i="1"/>
  <c r="D531" i="1"/>
  <c r="U531" i="1"/>
  <c r="AC531" i="1"/>
  <c r="AE531" i="1"/>
  <c r="CS531" i="1" s="1"/>
  <c r="R531" i="1" s="1"/>
  <c r="GK531" i="1" s="1"/>
  <c r="AF531" i="1"/>
  <c r="CT531" i="1" s="1"/>
  <c r="S531" i="1" s="1"/>
  <c r="CZ531" i="1" s="1"/>
  <c r="Y531" i="1" s="1"/>
  <c r="AG531" i="1"/>
  <c r="CU531" i="1" s="1"/>
  <c r="T531" i="1" s="1"/>
  <c r="AH531" i="1"/>
  <c r="CV531" i="1" s="1"/>
  <c r="AI531" i="1"/>
  <c r="AJ531" i="1"/>
  <c r="CX531" i="1" s="1"/>
  <c r="W531" i="1" s="1"/>
  <c r="CQ531" i="1"/>
  <c r="P531" i="1" s="1"/>
  <c r="CR531" i="1"/>
  <c r="Q531" i="1" s="1"/>
  <c r="CW531" i="1"/>
  <c r="V531" i="1" s="1"/>
  <c r="CY531" i="1"/>
  <c r="X531" i="1" s="1"/>
  <c r="FR531" i="1"/>
  <c r="GL531" i="1"/>
  <c r="GN531" i="1"/>
  <c r="GO531" i="1"/>
  <c r="GV531" i="1"/>
  <c r="HC531" i="1" s="1"/>
  <c r="GX531" i="1"/>
  <c r="C532" i="1"/>
  <c r="D532" i="1"/>
  <c r="I532" i="1"/>
  <c r="K532" i="1"/>
  <c r="P532" i="1"/>
  <c r="AC532" i="1"/>
  <c r="CQ532" i="1" s="1"/>
  <c r="AE532" i="1"/>
  <c r="AF532" i="1"/>
  <c r="AG532" i="1"/>
  <c r="AH532" i="1"/>
  <c r="CV532" i="1" s="1"/>
  <c r="U532" i="1" s="1"/>
  <c r="AI532" i="1"/>
  <c r="CW532" i="1" s="1"/>
  <c r="V532" i="1" s="1"/>
  <c r="AJ532" i="1"/>
  <c r="CX532" i="1" s="1"/>
  <c r="W532" i="1" s="1"/>
  <c r="CR532" i="1"/>
  <c r="Q532" i="1" s="1"/>
  <c r="CS532" i="1"/>
  <c r="CT532" i="1"/>
  <c r="S532" i="1" s="1"/>
  <c r="CU532" i="1"/>
  <c r="T532" i="1" s="1"/>
  <c r="FR532" i="1"/>
  <c r="GL532" i="1"/>
  <c r="GN532" i="1"/>
  <c r="GO532" i="1"/>
  <c r="GV532" i="1"/>
  <c r="HC532" i="1"/>
  <c r="GX532" i="1" s="1"/>
  <c r="C533" i="1"/>
  <c r="D533" i="1"/>
  <c r="I533" i="1"/>
  <c r="K533" i="1"/>
  <c r="AC533" i="1"/>
  <c r="CQ533" i="1" s="1"/>
  <c r="AE533" i="1"/>
  <c r="AF533" i="1"/>
  <c r="AG533" i="1"/>
  <c r="AH533" i="1"/>
  <c r="CV533" i="1" s="1"/>
  <c r="U533" i="1" s="1"/>
  <c r="AI533" i="1"/>
  <c r="AJ533" i="1"/>
  <c r="CU533" i="1"/>
  <c r="T533" i="1" s="1"/>
  <c r="CW533" i="1"/>
  <c r="V533" i="1" s="1"/>
  <c r="CX533" i="1"/>
  <c r="FR533" i="1"/>
  <c r="GL533" i="1"/>
  <c r="GN533" i="1"/>
  <c r="GO533" i="1"/>
  <c r="GV533" i="1"/>
  <c r="HC533" i="1" s="1"/>
  <c r="B535" i="1"/>
  <c r="B492" i="1" s="1"/>
  <c r="C535" i="1"/>
  <c r="C492" i="1" s="1"/>
  <c r="D535" i="1"/>
  <c r="D492" i="1" s="1"/>
  <c r="F535" i="1"/>
  <c r="F492" i="1" s="1"/>
  <c r="G535" i="1"/>
  <c r="AO535" i="1"/>
  <c r="BX535" i="1"/>
  <c r="BX492" i="1" s="1"/>
  <c r="CK535" i="1"/>
  <c r="CL535" i="1"/>
  <c r="CM535" i="1"/>
  <c r="D565" i="1"/>
  <c r="B567" i="1"/>
  <c r="C567" i="1"/>
  <c r="E567" i="1"/>
  <c r="Z567" i="1"/>
  <c r="AA567" i="1"/>
  <c r="AM567" i="1"/>
  <c r="AN567" i="1"/>
  <c r="BE567" i="1"/>
  <c r="BF567" i="1"/>
  <c r="BG567" i="1"/>
  <c r="BH567" i="1"/>
  <c r="BI567" i="1"/>
  <c r="BJ567" i="1"/>
  <c r="BK567" i="1"/>
  <c r="BL567" i="1"/>
  <c r="BM567" i="1"/>
  <c r="BN567" i="1"/>
  <c r="BO567" i="1"/>
  <c r="BP567" i="1"/>
  <c r="BQ567" i="1"/>
  <c r="BR567" i="1"/>
  <c r="BS567" i="1"/>
  <c r="BT567" i="1"/>
  <c r="BU567" i="1"/>
  <c r="BV567" i="1"/>
  <c r="BW567" i="1"/>
  <c r="BX567" i="1"/>
  <c r="CN567" i="1"/>
  <c r="CO567" i="1"/>
  <c r="CP567" i="1"/>
  <c r="CQ567" i="1"/>
  <c r="CR567" i="1"/>
  <c r="CS567" i="1"/>
  <c r="CT567" i="1"/>
  <c r="CU567" i="1"/>
  <c r="CV567" i="1"/>
  <c r="CW567" i="1"/>
  <c r="CX567" i="1"/>
  <c r="CY567" i="1"/>
  <c r="CZ567" i="1"/>
  <c r="DA567" i="1"/>
  <c r="DB567" i="1"/>
  <c r="DC567" i="1"/>
  <c r="DD567" i="1"/>
  <c r="DE567" i="1"/>
  <c r="DF567" i="1"/>
  <c r="DG567" i="1"/>
  <c r="DH567" i="1"/>
  <c r="DI567" i="1"/>
  <c r="DJ567" i="1"/>
  <c r="DK567" i="1"/>
  <c r="DL567" i="1"/>
  <c r="DM567" i="1"/>
  <c r="DN567" i="1"/>
  <c r="DO567" i="1"/>
  <c r="DP567" i="1"/>
  <c r="DQ567" i="1"/>
  <c r="DR567" i="1"/>
  <c r="DS567" i="1"/>
  <c r="DT567" i="1"/>
  <c r="DU567" i="1"/>
  <c r="DV567" i="1"/>
  <c r="DW567" i="1"/>
  <c r="DX567" i="1"/>
  <c r="DY567" i="1"/>
  <c r="DZ567" i="1"/>
  <c r="EA567" i="1"/>
  <c r="EB567" i="1"/>
  <c r="EC567" i="1"/>
  <c r="ED567" i="1"/>
  <c r="EE567" i="1"/>
  <c r="EF567" i="1"/>
  <c r="EG567" i="1"/>
  <c r="EH567" i="1"/>
  <c r="EI567" i="1"/>
  <c r="EJ567" i="1"/>
  <c r="EK567" i="1"/>
  <c r="EL567" i="1"/>
  <c r="EM567" i="1"/>
  <c r="EN567" i="1"/>
  <c r="EO567" i="1"/>
  <c r="EP567" i="1"/>
  <c r="EQ567" i="1"/>
  <c r="ER567" i="1"/>
  <c r="ES567" i="1"/>
  <c r="ET567" i="1"/>
  <c r="EU567" i="1"/>
  <c r="EV567" i="1"/>
  <c r="EW567" i="1"/>
  <c r="EX567" i="1"/>
  <c r="EY567" i="1"/>
  <c r="EZ567" i="1"/>
  <c r="FA567" i="1"/>
  <c r="FB567" i="1"/>
  <c r="FC567" i="1"/>
  <c r="FD567" i="1"/>
  <c r="FE567" i="1"/>
  <c r="FF567" i="1"/>
  <c r="FG567" i="1"/>
  <c r="FH567" i="1"/>
  <c r="FI567" i="1"/>
  <c r="FJ567" i="1"/>
  <c r="FK567" i="1"/>
  <c r="FL567" i="1"/>
  <c r="FM567" i="1"/>
  <c r="FN567" i="1"/>
  <c r="FO567" i="1"/>
  <c r="FP567" i="1"/>
  <c r="FQ567" i="1"/>
  <c r="FR567" i="1"/>
  <c r="FS567" i="1"/>
  <c r="FT567" i="1"/>
  <c r="FU567" i="1"/>
  <c r="FV567" i="1"/>
  <c r="FW567" i="1"/>
  <c r="FX567" i="1"/>
  <c r="FY567" i="1"/>
  <c r="FZ567" i="1"/>
  <c r="GA567" i="1"/>
  <c r="GB567" i="1"/>
  <c r="GC567" i="1"/>
  <c r="GD567" i="1"/>
  <c r="GE567" i="1"/>
  <c r="GF567" i="1"/>
  <c r="GG567" i="1"/>
  <c r="GH567" i="1"/>
  <c r="GI567" i="1"/>
  <c r="GJ567" i="1"/>
  <c r="GK567" i="1"/>
  <c r="GL567" i="1"/>
  <c r="GM567" i="1"/>
  <c r="GN567" i="1"/>
  <c r="GO567" i="1"/>
  <c r="GP567" i="1"/>
  <c r="GQ567" i="1"/>
  <c r="GR567" i="1"/>
  <c r="GS567" i="1"/>
  <c r="GT567" i="1"/>
  <c r="GU567" i="1"/>
  <c r="GV567" i="1"/>
  <c r="GW567" i="1"/>
  <c r="GX567" i="1"/>
  <c r="C569" i="1"/>
  <c r="D569" i="1"/>
  <c r="AC569" i="1"/>
  <c r="AE569" i="1"/>
  <c r="AF569" i="1"/>
  <c r="AG569" i="1"/>
  <c r="AH569" i="1"/>
  <c r="CV569" i="1" s="1"/>
  <c r="U569" i="1" s="1"/>
  <c r="AI569" i="1"/>
  <c r="CW569" i="1" s="1"/>
  <c r="V569" i="1" s="1"/>
  <c r="AJ569" i="1"/>
  <c r="CX569" i="1" s="1"/>
  <c r="W569" i="1" s="1"/>
  <c r="CQ569" i="1"/>
  <c r="P569" i="1" s="1"/>
  <c r="CU569" i="1"/>
  <c r="T569" i="1" s="1"/>
  <c r="FR569" i="1"/>
  <c r="GL569" i="1"/>
  <c r="GN569" i="1"/>
  <c r="GO569" i="1"/>
  <c r="GV569" i="1"/>
  <c r="HC569" i="1" s="1"/>
  <c r="GX569" i="1" s="1"/>
  <c r="C570" i="1"/>
  <c r="D570" i="1"/>
  <c r="I570" i="1"/>
  <c r="K570" i="1"/>
  <c r="AC570" i="1"/>
  <c r="AE570" i="1"/>
  <c r="AF570" i="1"/>
  <c r="AG570" i="1"/>
  <c r="AH570" i="1"/>
  <c r="CV570" i="1" s="1"/>
  <c r="U570" i="1" s="1"/>
  <c r="AI570" i="1"/>
  <c r="CW570" i="1" s="1"/>
  <c r="V570" i="1" s="1"/>
  <c r="AJ570" i="1"/>
  <c r="CX570" i="1" s="1"/>
  <c r="W570" i="1" s="1"/>
  <c r="CQ570" i="1"/>
  <c r="P570" i="1" s="1"/>
  <c r="CR570" i="1"/>
  <c r="Q570" i="1" s="1"/>
  <c r="CS570" i="1"/>
  <c r="CT570" i="1"/>
  <c r="S570" i="1" s="1"/>
  <c r="CU570" i="1"/>
  <c r="T570" i="1" s="1"/>
  <c r="FR570" i="1"/>
  <c r="GL570" i="1"/>
  <c r="GN570" i="1"/>
  <c r="GO570" i="1"/>
  <c r="GV570" i="1"/>
  <c r="HC570" i="1"/>
  <c r="GX570" i="1" s="1"/>
  <c r="C571" i="1"/>
  <c r="D571" i="1"/>
  <c r="I571" i="1"/>
  <c r="K571" i="1"/>
  <c r="AC571" i="1"/>
  <c r="CQ571" i="1" s="1"/>
  <c r="AE571" i="1"/>
  <c r="AF571" i="1"/>
  <c r="AG571" i="1"/>
  <c r="AH571" i="1"/>
  <c r="AI571" i="1"/>
  <c r="CW571" i="1" s="1"/>
  <c r="V571" i="1" s="1"/>
  <c r="AJ571" i="1"/>
  <c r="CX571" i="1" s="1"/>
  <c r="W571" i="1" s="1"/>
  <c r="CT571" i="1"/>
  <c r="S571" i="1" s="1"/>
  <c r="CU571" i="1"/>
  <c r="T571" i="1" s="1"/>
  <c r="CV571" i="1"/>
  <c r="U571" i="1" s="1"/>
  <c r="FR571" i="1"/>
  <c r="GL571" i="1"/>
  <c r="GN571" i="1"/>
  <c r="GO571" i="1"/>
  <c r="GV571" i="1"/>
  <c r="HC571" i="1" s="1"/>
  <c r="GX571" i="1"/>
  <c r="C572" i="1"/>
  <c r="D572" i="1"/>
  <c r="AC572" i="1"/>
  <c r="AE572" i="1"/>
  <c r="AD572" i="1" s="1"/>
  <c r="AF572" i="1"/>
  <c r="AG572" i="1"/>
  <c r="CU572" i="1" s="1"/>
  <c r="T572" i="1" s="1"/>
  <c r="AH572" i="1"/>
  <c r="CV572" i="1" s="1"/>
  <c r="U572" i="1" s="1"/>
  <c r="AI572" i="1"/>
  <c r="CW572" i="1" s="1"/>
  <c r="V572" i="1" s="1"/>
  <c r="AJ572" i="1"/>
  <c r="CX572" i="1" s="1"/>
  <c r="W572" i="1" s="1"/>
  <c r="FR572" i="1"/>
  <c r="GL572" i="1"/>
  <c r="GN572" i="1"/>
  <c r="GO572" i="1"/>
  <c r="GV572" i="1"/>
  <c r="HC572" i="1" s="1"/>
  <c r="GX572" i="1" s="1"/>
  <c r="C573" i="1"/>
  <c r="D573" i="1"/>
  <c r="I573" i="1"/>
  <c r="K573" i="1"/>
  <c r="U573" i="1"/>
  <c r="AC573" i="1"/>
  <c r="AE573" i="1"/>
  <c r="AF573" i="1"/>
  <c r="AG573" i="1"/>
  <c r="AH573" i="1"/>
  <c r="CV573" i="1" s="1"/>
  <c r="AI573" i="1"/>
  <c r="CW573" i="1" s="1"/>
  <c r="V573" i="1" s="1"/>
  <c r="AJ573" i="1"/>
  <c r="CX573" i="1" s="1"/>
  <c r="W573" i="1" s="1"/>
  <c r="CQ573" i="1"/>
  <c r="P573" i="1" s="1"/>
  <c r="CR573" i="1"/>
  <c r="Q573" i="1" s="1"/>
  <c r="CS573" i="1"/>
  <c r="CU573" i="1"/>
  <c r="T573" i="1" s="1"/>
  <c r="AG577" i="1" s="1"/>
  <c r="FR573" i="1"/>
  <c r="GL573" i="1"/>
  <c r="GN573" i="1"/>
  <c r="GO573" i="1"/>
  <c r="GV573" i="1"/>
  <c r="HC573" i="1"/>
  <c r="C574" i="1"/>
  <c r="D574" i="1"/>
  <c r="AC574" i="1"/>
  <c r="AE574" i="1"/>
  <c r="AD574" i="1" s="1"/>
  <c r="AF574" i="1"/>
  <c r="AG574" i="1"/>
  <c r="AH574" i="1"/>
  <c r="AI574" i="1"/>
  <c r="CW574" i="1" s="1"/>
  <c r="V574" i="1" s="1"/>
  <c r="AJ574" i="1"/>
  <c r="CX574" i="1" s="1"/>
  <c r="W574" i="1" s="1"/>
  <c r="CQ574" i="1"/>
  <c r="P574" i="1" s="1"/>
  <c r="CR574" i="1"/>
  <c r="Q574" i="1" s="1"/>
  <c r="CS574" i="1"/>
  <c r="R574" i="1" s="1"/>
  <c r="GK574" i="1" s="1"/>
  <c r="CT574" i="1"/>
  <c r="S574" i="1" s="1"/>
  <c r="CU574" i="1"/>
  <c r="T574" i="1" s="1"/>
  <c r="CV574" i="1"/>
  <c r="U574" i="1" s="1"/>
  <c r="FR574" i="1"/>
  <c r="GL574" i="1"/>
  <c r="GN574" i="1"/>
  <c r="GO574" i="1"/>
  <c r="GV574" i="1"/>
  <c r="HC574" i="1" s="1"/>
  <c r="GX574" i="1"/>
  <c r="C575" i="1"/>
  <c r="D575" i="1"/>
  <c r="AC575" i="1"/>
  <c r="CQ575" i="1" s="1"/>
  <c r="P575" i="1" s="1"/>
  <c r="AE575" i="1"/>
  <c r="AF575" i="1"/>
  <c r="AG575" i="1"/>
  <c r="CU575" i="1" s="1"/>
  <c r="T575" i="1" s="1"/>
  <c r="AH575" i="1"/>
  <c r="AI575" i="1"/>
  <c r="CW575" i="1" s="1"/>
  <c r="V575" i="1" s="1"/>
  <c r="AJ575" i="1"/>
  <c r="CX575" i="1" s="1"/>
  <c r="W575" i="1" s="1"/>
  <c r="CT575" i="1"/>
  <c r="S575" i="1" s="1"/>
  <c r="CV575" i="1"/>
  <c r="U575" i="1" s="1"/>
  <c r="FR575" i="1"/>
  <c r="GL575" i="1"/>
  <c r="GN575" i="1"/>
  <c r="GO575" i="1"/>
  <c r="GV575" i="1"/>
  <c r="HC575" i="1"/>
  <c r="GX575" i="1" s="1"/>
  <c r="B577" i="1"/>
  <c r="C577" i="1"/>
  <c r="D577" i="1"/>
  <c r="D567" i="1" s="1"/>
  <c r="F577" i="1"/>
  <c r="F567" i="1" s="1"/>
  <c r="G577" i="1"/>
  <c r="BX577" i="1"/>
  <c r="AO577" i="1" s="1"/>
  <c r="CK577" i="1"/>
  <c r="CL577" i="1"/>
  <c r="CM577" i="1"/>
  <c r="D607" i="1"/>
  <c r="E609" i="1"/>
  <c r="Z609" i="1"/>
  <c r="AA609" i="1"/>
  <c r="AM609" i="1"/>
  <c r="AN609" i="1"/>
  <c r="BE609" i="1"/>
  <c r="BF609" i="1"/>
  <c r="BG609" i="1"/>
  <c r="BH609" i="1"/>
  <c r="BI609" i="1"/>
  <c r="BJ609" i="1"/>
  <c r="BK609" i="1"/>
  <c r="BL609" i="1"/>
  <c r="BM609" i="1"/>
  <c r="BN609" i="1"/>
  <c r="BO609" i="1"/>
  <c r="BP609" i="1"/>
  <c r="BQ609" i="1"/>
  <c r="BR609" i="1"/>
  <c r="BS609" i="1"/>
  <c r="BT609" i="1"/>
  <c r="BU609" i="1"/>
  <c r="BV609" i="1"/>
  <c r="BW609" i="1"/>
  <c r="CN609" i="1"/>
  <c r="CO609" i="1"/>
  <c r="CP609" i="1"/>
  <c r="CQ609" i="1"/>
  <c r="CR609" i="1"/>
  <c r="CS609" i="1"/>
  <c r="CT609" i="1"/>
  <c r="CU609" i="1"/>
  <c r="CV609" i="1"/>
  <c r="CW609" i="1"/>
  <c r="CX609" i="1"/>
  <c r="CY609" i="1"/>
  <c r="CZ609" i="1"/>
  <c r="DA609" i="1"/>
  <c r="DB609" i="1"/>
  <c r="DC609" i="1"/>
  <c r="DD609" i="1"/>
  <c r="DE609" i="1"/>
  <c r="DF609" i="1"/>
  <c r="DG609" i="1"/>
  <c r="DH609" i="1"/>
  <c r="DI609" i="1"/>
  <c r="DJ609" i="1"/>
  <c r="DK609" i="1"/>
  <c r="DL609" i="1"/>
  <c r="DM609" i="1"/>
  <c r="DN609" i="1"/>
  <c r="DO609" i="1"/>
  <c r="DP609" i="1"/>
  <c r="DQ609" i="1"/>
  <c r="DR609" i="1"/>
  <c r="DS609" i="1"/>
  <c r="DT609" i="1"/>
  <c r="DU609" i="1"/>
  <c r="DV609" i="1"/>
  <c r="DW609" i="1"/>
  <c r="DX609" i="1"/>
  <c r="DY609" i="1"/>
  <c r="DZ609" i="1"/>
  <c r="EA609" i="1"/>
  <c r="EB609" i="1"/>
  <c r="EC609" i="1"/>
  <c r="ED609" i="1"/>
  <c r="EE609" i="1"/>
  <c r="EF609" i="1"/>
  <c r="EG609" i="1"/>
  <c r="EH609" i="1"/>
  <c r="EI609" i="1"/>
  <c r="EJ609" i="1"/>
  <c r="EK609" i="1"/>
  <c r="EL609" i="1"/>
  <c r="EM609" i="1"/>
  <c r="EN609" i="1"/>
  <c r="EO609" i="1"/>
  <c r="EP609" i="1"/>
  <c r="EQ609" i="1"/>
  <c r="ER609" i="1"/>
  <c r="ES609" i="1"/>
  <c r="ET609" i="1"/>
  <c r="EU609" i="1"/>
  <c r="EV609" i="1"/>
  <c r="EW609" i="1"/>
  <c r="EX609" i="1"/>
  <c r="EY609" i="1"/>
  <c r="EZ609" i="1"/>
  <c r="FA609" i="1"/>
  <c r="FB609" i="1"/>
  <c r="FC609" i="1"/>
  <c r="FD609" i="1"/>
  <c r="FE609" i="1"/>
  <c r="FF609" i="1"/>
  <c r="FG609" i="1"/>
  <c r="FH609" i="1"/>
  <c r="FI609" i="1"/>
  <c r="FJ609" i="1"/>
  <c r="FK609" i="1"/>
  <c r="FL609" i="1"/>
  <c r="FM609" i="1"/>
  <c r="FN609" i="1"/>
  <c r="FO609" i="1"/>
  <c r="FP609" i="1"/>
  <c r="FQ609" i="1"/>
  <c r="FR609" i="1"/>
  <c r="FS609" i="1"/>
  <c r="FT609" i="1"/>
  <c r="FU609" i="1"/>
  <c r="FV609" i="1"/>
  <c r="FW609" i="1"/>
  <c r="FX609" i="1"/>
  <c r="FY609" i="1"/>
  <c r="FZ609" i="1"/>
  <c r="GA609" i="1"/>
  <c r="GB609" i="1"/>
  <c r="GC609" i="1"/>
  <c r="GD609" i="1"/>
  <c r="GE609" i="1"/>
  <c r="GF609" i="1"/>
  <c r="GG609" i="1"/>
  <c r="GH609" i="1"/>
  <c r="GI609" i="1"/>
  <c r="GJ609" i="1"/>
  <c r="GK609" i="1"/>
  <c r="GL609" i="1"/>
  <c r="GM609" i="1"/>
  <c r="GN609" i="1"/>
  <c r="GO609" i="1"/>
  <c r="GP609" i="1"/>
  <c r="GQ609" i="1"/>
  <c r="GR609" i="1"/>
  <c r="GS609" i="1"/>
  <c r="GT609" i="1"/>
  <c r="GU609" i="1"/>
  <c r="GV609" i="1"/>
  <c r="GW609" i="1"/>
  <c r="GX609" i="1"/>
  <c r="D611" i="1"/>
  <c r="I611" i="1"/>
  <c r="K611" i="1"/>
  <c r="V611" i="1"/>
  <c r="AC611" i="1"/>
  <c r="CQ611" i="1" s="1"/>
  <c r="P611" i="1" s="1"/>
  <c r="AD611" i="1"/>
  <c r="AE611" i="1"/>
  <c r="AF611" i="1"/>
  <c r="AG611" i="1"/>
  <c r="AH611" i="1"/>
  <c r="CV611" i="1" s="1"/>
  <c r="U611" i="1" s="1"/>
  <c r="AI611" i="1"/>
  <c r="CW611" i="1" s="1"/>
  <c r="AJ611" i="1"/>
  <c r="CR611" i="1"/>
  <c r="CS611" i="1"/>
  <c r="CT611" i="1"/>
  <c r="S611" i="1" s="1"/>
  <c r="CU611" i="1"/>
  <c r="T611" i="1" s="1"/>
  <c r="CX611" i="1"/>
  <c r="FR611" i="1"/>
  <c r="GL611" i="1"/>
  <c r="GN611" i="1"/>
  <c r="GO611" i="1"/>
  <c r="GV611" i="1"/>
  <c r="HC611" i="1" s="1"/>
  <c r="GX611" i="1" s="1"/>
  <c r="D612" i="1"/>
  <c r="I612" i="1"/>
  <c r="K612" i="1"/>
  <c r="AC612" i="1"/>
  <c r="CQ612" i="1" s="1"/>
  <c r="AE612" i="1"/>
  <c r="AF612" i="1"/>
  <c r="AG612" i="1"/>
  <c r="CU612" i="1" s="1"/>
  <c r="AH612" i="1"/>
  <c r="CV612" i="1" s="1"/>
  <c r="AI612" i="1"/>
  <c r="CW612" i="1" s="1"/>
  <c r="AJ612" i="1"/>
  <c r="CT612" i="1"/>
  <c r="CX612" i="1"/>
  <c r="FR612" i="1"/>
  <c r="GL612" i="1"/>
  <c r="GN612" i="1"/>
  <c r="GO612" i="1"/>
  <c r="GV612" i="1"/>
  <c r="HC612" i="1"/>
  <c r="D613" i="1"/>
  <c r="I613" i="1"/>
  <c r="K613" i="1"/>
  <c r="AC613" i="1"/>
  <c r="AE613" i="1"/>
  <c r="CR613" i="1" s="1"/>
  <c r="Q613" i="1" s="1"/>
  <c r="AF613" i="1"/>
  <c r="CT613" i="1" s="1"/>
  <c r="AG613" i="1"/>
  <c r="CU613" i="1" s="1"/>
  <c r="T613" i="1" s="1"/>
  <c r="AH613" i="1"/>
  <c r="CV613" i="1" s="1"/>
  <c r="AI613" i="1"/>
  <c r="CW613" i="1" s="1"/>
  <c r="AJ613" i="1"/>
  <c r="CQ613" i="1"/>
  <c r="CX613" i="1"/>
  <c r="FR613" i="1"/>
  <c r="GL613" i="1"/>
  <c r="GN613" i="1"/>
  <c r="GO613" i="1"/>
  <c r="GV613" i="1"/>
  <c r="HC613" i="1" s="1"/>
  <c r="GX613" i="1" s="1"/>
  <c r="D614" i="1"/>
  <c r="I614" i="1"/>
  <c r="K614" i="1"/>
  <c r="AC614" i="1"/>
  <c r="AE614" i="1"/>
  <c r="AF614" i="1"/>
  <c r="AG614" i="1"/>
  <c r="CU614" i="1" s="1"/>
  <c r="T614" i="1" s="1"/>
  <c r="AH614" i="1"/>
  <c r="CV614" i="1" s="1"/>
  <c r="U614" i="1" s="1"/>
  <c r="AI614" i="1"/>
  <c r="CW614" i="1" s="1"/>
  <c r="AJ614" i="1"/>
  <c r="CX614" i="1" s="1"/>
  <c r="W614" i="1" s="1"/>
  <c r="FR614" i="1"/>
  <c r="BY619" i="1" s="1"/>
  <c r="GL614" i="1"/>
  <c r="GN614" i="1"/>
  <c r="GO614" i="1"/>
  <c r="GV614" i="1"/>
  <c r="HC614" i="1" s="1"/>
  <c r="GX614" i="1" s="1"/>
  <c r="C615" i="1"/>
  <c r="D615" i="1"/>
  <c r="AC615" i="1"/>
  <c r="AE615" i="1"/>
  <c r="AF615" i="1"/>
  <c r="AG615" i="1"/>
  <c r="CU615" i="1" s="1"/>
  <c r="T615" i="1" s="1"/>
  <c r="AH615" i="1"/>
  <c r="CV615" i="1" s="1"/>
  <c r="U615" i="1" s="1"/>
  <c r="AI615" i="1"/>
  <c r="CW615" i="1" s="1"/>
  <c r="V615" i="1" s="1"/>
  <c r="AJ615" i="1"/>
  <c r="CX615" i="1" s="1"/>
  <c r="W615" i="1" s="1"/>
  <c r="CQ615" i="1"/>
  <c r="P615" i="1" s="1"/>
  <c r="FR615" i="1"/>
  <c r="GL615" i="1"/>
  <c r="GN615" i="1"/>
  <c r="GO615" i="1"/>
  <c r="GV615" i="1"/>
  <c r="HC615" i="1" s="1"/>
  <c r="GX615" i="1"/>
  <c r="C616" i="1"/>
  <c r="D616" i="1"/>
  <c r="AC616" i="1"/>
  <c r="AD616" i="1"/>
  <c r="AE616" i="1"/>
  <c r="AF616" i="1"/>
  <c r="AG616" i="1"/>
  <c r="AH616" i="1"/>
  <c r="AI616" i="1"/>
  <c r="CW616" i="1" s="1"/>
  <c r="V616" i="1" s="1"/>
  <c r="AJ616" i="1"/>
  <c r="CX616" i="1" s="1"/>
  <c r="W616" i="1" s="1"/>
  <c r="CU616" i="1"/>
  <c r="T616" i="1" s="1"/>
  <c r="CV616" i="1"/>
  <c r="U616" i="1" s="1"/>
  <c r="FR616" i="1"/>
  <c r="GL616" i="1"/>
  <c r="GN616" i="1"/>
  <c r="GO616" i="1"/>
  <c r="GV616" i="1"/>
  <c r="HC616" i="1" s="1"/>
  <c r="GX616" i="1" s="1"/>
  <c r="C617" i="1"/>
  <c r="D617" i="1"/>
  <c r="W617" i="1"/>
  <c r="AC617" i="1"/>
  <c r="AE617" i="1"/>
  <c r="AF617" i="1"/>
  <c r="AG617" i="1"/>
  <c r="CU617" i="1" s="1"/>
  <c r="T617" i="1" s="1"/>
  <c r="AH617" i="1"/>
  <c r="AI617" i="1"/>
  <c r="AJ617" i="1"/>
  <c r="CV617" i="1"/>
  <c r="U617" i="1" s="1"/>
  <c r="CW617" i="1"/>
  <c r="V617" i="1" s="1"/>
  <c r="CX617" i="1"/>
  <c r="FR617" i="1"/>
  <c r="GL617" i="1"/>
  <c r="GN617" i="1"/>
  <c r="GO617" i="1"/>
  <c r="GV617" i="1"/>
  <c r="HC617" i="1" s="1"/>
  <c r="GX617" i="1" s="1"/>
  <c r="B619" i="1"/>
  <c r="B609" i="1" s="1"/>
  <c r="C619" i="1"/>
  <c r="C609" i="1" s="1"/>
  <c r="D619" i="1"/>
  <c r="D609" i="1" s="1"/>
  <c r="F619" i="1"/>
  <c r="F609" i="1" s="1"/>
  <c r="G619" i="1"/>
  <c r="BC619" i="1"/>
  <c r="BD619" i="1"/>
  <c r="F644" i="1" s="1"/>
  <c r="BX619" i="1"/>
  <c r="BX609" i="1" s="1"/>
  <c r="CK619" i="1"/>
  <c r="CK609" i="1" s="1"/>
  <c r="CL619" i="1"/>
  <c r="CL609" i="1" s="1"/>
  <c r="CM619" i="1"/>
  <c r="CM609" i="1" s="1"/>
  <c r="D649" i="1"/>
  <c r="B651" i="1"/>
  <c r="C651" i="1"/>
  <c r="D651" i="1"/>
  <c r="E651" i="1"/>
  <c r="Z651" i="1"/>
  <c r="AA651" i="1"/>
  <c r="AM651" i="1"/>
  <c r="AN651" i="1"/>
  <c r="BE651" i="1"/>
  <c r="BF651" i="1"/>
  <c r="BG651" i="1"/>
  <c r="BH651" i="1"/>
  <c r="BI651" i="1"/>
  <c r="BJ651" i="1"/>
  <c r="BK651" i="1"/>
  <c r="BL651" i="1"/>
  <c r="BM651" i="1"/>
  <c r="BN651" i="1"/>
  <c r="BO651" i="1"/>
  <c r="BP651" i="1"/>
  <c r="BQ651" i="1"/>
  <c r="BR651" i="1"/>
  <c r="BS651" i="1"/>
  <c r="BT651" i="1"/>
  <c r="BU651" i="1"/>
  <c r="BV651" i="1"/>
  <c r="BW651" i="1"/>
  <c r="CN651" i="1"/>
  <c r="CO651" i="1"/>
  <c r="CP651" i="1"/>
  <c r="CQ651" i="1"/>
  <c r="CR651" i="1"/>
  <c r="CS651" i="1"/>
  <c r="CT651" i="1"/>
  <c r="CU651" i="1"/>
  <c r="CV651" i="1"/>
  <c r="CW651" i="1"/>
  <c r="CX651" i="1"/>
  <c r="CY651" i="1"/>
  <c r="CZ651" i="1"/>
  <c r="DA651" i="1"/>
  <c r="DB651" i="1"/>
  <c r="DC651" i="1"/>
  <c r="DD651" i="1"/>
  <c r="DE651" i="1"/>
  <c r="DF651" i="1"/>
  <c r="DG651" i="1"/>
  <c r="DH651" i="1"/>
  <c r="DI651" i="1"/>
  <c r="DJ651" i="1"/>
  <c r="DK651" i="1"/>
  <c r="DL651" i="1"/>
  <c r="DM651" i="1"/>
  <c r="DN651" i="1"/>
  <c r="DO651" i="1"/>
  <c r="DP651" i="1"/>
  <c r="DQ651" i="1"/>
  <c r="DR651" i="1"/>
  <c r="DS651" i="1"/>
  <c r="DT651" i="1"/>
  <c r="DU651" i="1"/>
  <c r="DV651" i="1"/>
  <c r="DW651" i="1"/>
  <c r="DX651" i="1"/>
  <c r="DY651" i="1"/>
  <c r="DZ651" i="1"/>
  <c r="EA651" i="1"/>
  <c r="EB651" i="1"/>
  <c r="EC651" i="1"/>
  <c r="ED651" i="1"/>
  <c r="EE651" i="1"/>
  <c r="EF651" i="1"/>
  <c r="EG651" i="1"/>
  <c r="EH651" i="1"/>
  <c r="EI651" i="1"/>
  <c r="EJ651" i="1"/>
  <c r="EK651" i="1"/>
  <c r="EL651" i="1"/>
  <c r="EM651" i="1"/>
  <c r="EN651" i="1"/>
  <c r="EO651" i="1"/>
  <c r="EP651" i="1"/>
  <c r="EQ651" i="1"/>
  <c r="ER651" i="1"/>
  <c r="ES651" i="1"/>
  <c r="ET651" i="1"/>
  <c r="EU651" i="1"/>
  <c r="EV651" i="1"/>
  <c r="EW651" i="1"/>
  <c r="EX651" i="1"/>
  <c r="EY651" i="1"/>
  <c r="EZ651" i="1"/>
  <c r="FA651" i="1"/>
  <c r="FB651" i="1"/>
  <c r="FC651" i="1"/>
  <c r="FD651" i="1"/>
  <c r="FE651" i="1"/>
  <c r="FF651" i="1"/>
  <c r="FG651" i="1"/>
  <c r="FH651" i="1"/>
  <c r="FI651" i="1"/>
  <c r="FJ651" i="1"/>
  <c r="FK651" i="1"/>
  <c r="FL651" i="1"/>
  <c r="FM651" i="1"/>
  <c r="FN651" i="1"/>
  <c r="FO651" i="1"/>
  <c r="FP651" i="1"/>
  <c r="FQ651" i="1"/>
  <c r="FR651" i="1"/>
  <c r="FS651" i="1"/>
  <c r="FT651" i="1"/>
  <c r="FU651" i="1"/>
  <c r="FV651" i="1"/>
  <c r="FW651" i="1"/>
  <c r="FX651" i="1"/>
  <c r="FY651" i="1"/>
  <c r="FZ651" i="1"/>
  <c r="GA651" i="1"/>
  <c r="GB651" i="1"/>
  <c r="GC651" i="1"/>
  <c r="GD651" i="1"/>
  <c r="GE651" i="1"/>
  <c r="GF651" i="1"/>
  <c r="GG651" i="1"/>
  <c r="GH651" i="1"/>
  <c r="GI651" i="1"/>
  <c r="GJ651" i="1"/>
  <c r="GK651" i="1"/>
  <c r="GL651" i="1"/>
  <c r="GM651" i="1"/>
  <c r="GN651" i="1"/>
  <c r="GO651" i="1"/>
  <c r="GP651" i="1"/>
  <c r="GQ651" i="1"/>
  <c r="GR651" i="1"/>
  <c r="GS651" i="1"/>
  <c r="GT651" i="1"/>
  <c r="GU651" i="1"/>
  <c r="GV651" i="1"/>
  <c r="GW651" i="1"/>
  <c r="GX651" i="1"/>
  <c r="D653" i="1"/>
  <c r="I653" i="1"/>
  <c r="K653" i="1"/>
  <c r="AC653" i="1"/>
  <c r="CQ653" i="1" s="1"/>
  <c r="P653" i="1" s="1"/>
  <c r="AE653" i="1"/>
  <c r="AF653" i="1"/>
  <c r="AG653" i="1"/>
  <c r="CU653" i="1" s="1"/>
  <c r="AH653" i="1"/>
  <c r="AI653" i="1"/>
  <c r="AJ653" i="1"/>
  <c r="CX653" i="1" s="1"/>
  <c r="CV653" i="1"/>
  <c r="CW653" i="1"/>
  <c r="FR653" i="1"/>
  <c r="GL653" i="1"/>
  <c r="GN653" i="1"/>
  <c r="GO653" i="1"/>
  <c r="GV653" i="1"/>
  <c r="HC653" i="1" s="1"/>
  <c r="D654" i="1"/>
  <c r="I654" i="1"/>
  <c r="K654" i="1"/>
  <c r="Q654" i="1"/>
  <c r="R654" i="1"/>
  <c r="GK654" i="1" s="1"/>
  <c r="S654" i="1"/>
  <c r="AC654" i="1"/>
  <c r="CQ654" i="1" s="1"/>
  <c r="P654" i="1" s="1"/>
  <c r="CP654" i="1" s="1"/>
  <c r="O654" i="1" s="1"/>
  <c r="AD654" i="1"/>
  <c r="AE654" i="1"/>
  <c r="AF654" i="1"/>
  <c r="AG654" i="1"/>
  <c r="CU654" i="1" s="1"/>
  <c r="AH654" i="1"/>
  <c r="CV654" i="1" s="1"/>
  <c r="U654" i="1" s="1"/>
  <c r="AI654" i="1"/>
  <c r="CW654" i="1" s="1"/>
  <c r="AJ654" i="1"/>
  <c r="CX654" i="1" s="1"/>
  <c r="CR654" i="1"/>
  <c r="CS654" i="1"/>
  <c r="CT654" i="1"/>
  <c r="FR654" i="1"/>
  <c r="GL654" i="1"/>
  <c r="GN654" i="1"/>
  <c r="GO654" i="1"/>
  <c r="GV654" i="1"/>
  <c r="HC654" i="1"/>
  <c r="D655" i="1"/>
  <c r="I655" i="1"/>
  <c r="K655" i="1"/>
  <c r="AC655" i="1"/>
  <c r="CQ655" i="1" s="1"/>
  <c r="AE655" i="1"/>
  <c r="CS655" i="1" s="1"/>
  <c r="AF655" i="1"/>
  <c r="AG655" i="1"/>
  <c r="CU655" i="1" s="1"/>
  <c r="T655" i="1" s="1"/>
  <c r="AH655" i="1"/>
  <c r="AI655" i="1"/>
  <c r="AJ655" i="1"/>
  <c r="CR655" i="1"/>
  <c r="CV655" i="1"/>
  <c r="CW655" i="1"/>
  <c r="CX655" i="1"/>
  <c r="FR655" i="1"/>
  <c r="GL655" i="1"/>
  <c r="GN655" i="1"/>
  <c r="GO655" i="1"/>
  <c r="GV655" i="1"/>
  <c r="HC655" i="1"/>
  <c r="GX655" i="1" s="1"/>
  <c r="D656" i="1"/>
  <c r="I656" i="1"/>
  <c r="K656" i="1"/>
  <c r="T656" i="1"/>
  <c r="AC656" i="1"/>
  <c r="AE656" i="1"/>
  <c r="AD656" i="1" s="1"/>
  <c r="AF656" i="1"/>
  <c r="CT656" i="1" s="1"/>
  <c r="S656" i="1" s="1"/>
  <c r="CY656" i="1" s="1"/>
  <c r="X656" i="1" s="1"/>
  <c r="AG656" i="1"/>
  <c r="CU656" i="1" s="1"/>
  <c r="AH656" i="1"/>
  <c r="CV656" i="1" s="1"/>
  <c r="U656" i="1" s="1"/>
  <c r="AI656" i="1"/>
  <c r="CW656" i="1" s="1"/>
  <c r="AJ656" i="1"/>
  <c r="CX656" i="1" s="1"/>
  <c r="FR656" i="1"/>
  <c r="GL656" i="1"/>
  <c r="GN656" i="1"/>
  <c r="GO656" i="1"/>
  <c r="GV656" i="1"/>
  <c r="HC656" i="1"/>
  <c r="D657" i="1"/>
  <c r="I657" i="1"/>
  <c r="K657" i="1"/>
  <c r="T657" i="1"/>
  <c r="AC657" i="1"/>
  <c r="CQ657" i="1" s="1"/>
  <c r="P657" i="1" s="1"/>
  <c r="AE657" i="1"/>
  <c r="AF657" i="1"/>
  <c r="AG657" i="1"/>
  <c r="AH657" i="1"/>
  <c r="AI657" i="1"/>
  <c r="CW657" i="1" s="1"/>
  <c r="V657" i="1" s="1"/>
  <c r="AJ657" i="1"/>
  <c r="CX657" i="1" s="1"/>
  <c r="W657" i="1" s="1"/>
  <c r="CR657" i="1"/>
  <c r="CS657" i="1"/>
  <c r="CT657" i="1"/>
  <c r="CU657" i="1"/>
  <c r="CV657" i="1"/>
  <c r="FR657" i="1"/>
  <c r="GL657" i="1"/>
  <c r="GN657" i="1"/>
  <c r="GO657" i="1"/>
  <c r="GV657" i="1"/>
  <c r="HC657" i="1"/>
  <c r="GX657" i="1" s="1"/>
  <c r="D658" i="1"/>
  <c r="I658" i="1"/>
  <c r="K658" i="1"/>
  <c r="AC658" i="1"/>
  <c r="CQ658" i="1" s="1"/>
  <c r="AE658" i="1"/>
  <c r="AF658" i="1"/>
  <c r="CT658" i="1" s="1"/>
  <c r="S658" i="1" s="1"/>
  <c r="CY658" i="1" s="1"/>
  <c r="X658" i="1" s="1"/>
  <c r="AG658" i="1"/>
  <c r="CU658" i="1" s="1"/>
  <c r="AH658" i="1"/>
  <c r="CV658" i="1" s="1"/>
  <c r="U658" i="1" s="1"/>
  <c r="AI658" i="1"/>
  <c r="CW658" i="1" s="1"/>
  <c r="AJ658" i="1"/>
  <c r="CX658" i="1" s="1"/>
  <c r="FR658" i="1"/>
  <c r="GL658" i="1"/>
  <c r="GN658" i="1"/>
  <c r="GO658" i="1"/>
  <c r="GV658" i="1"/>
  <c r="HC658" i="1"/>
  <c r="D659" i="1"/>
  <c r="I659" i="1"/>
  <c r="K659" i="1"/>
  <c r="AC659" i="1"/>
  <c r="CQ659" i="1" s="1"/>
  <c r="AE659" i="1"/>
  <c r="AF659" i="1"/>
  <c r="AG659" i="1"/>
  <c r="AH659" i="1"/>
  <c r="CV659" i="1" s="1"/>
  <c r="AI659" i="1"/>
  <c r="CW659" i="1" s="1"/>
  <c r="AJ659" i="1"/>
  <c r="CX659" i="1" s="1"/>
  <c r="W659" i="1" s="1"/>
  <c r="CR659" i="1"/>
  <c r="Q659" i="1" s="1"/>
  <c r="CT659" i="1"/>
  <c r="CU659" i="1"/>
  <c r="FR659" i="1"/>
  <c r="GL659" i="1"/>
  <c r="GN659" i="1"/>
  <c r="GO659" i="1"/>
  <c r="GV659" i="1"/>
  <c r="HC659" i="1" s="1"/>
  <c r="D660" i="1"/>
  <c r="I660" i="1"/>
  <c r="K660" i="1"/>
  <c r="T660" i="1"/>
  <c r="U660" i="1"/>
  <c r="AC660" i="1"/>
  <c r="AE660" i="1"/>
  <c r="AD660" i="1" s="1"/>
  <c r="AF660" i="1"/>
  <c r="CT660" i="1" s="1"/>
  <c r="S660" i="1" s="1"/>
  <c r="AG660" i="1"/>
  <c r="CU660" i="1" s="1"/>
  <c r="AH660" i="1"/>
  <c r="AI660" i="1"/>
  <c r="AJ660" i="1"/>
  <c r="CX660" i="1" s="1"/>
  <c r="W660" i="1" s="1"/>
  <c r="CQ660" i="1"/>
  <c r="P660" i="1" s="1"/>
  <c r="CR660" i="1"/>
  <c r="Q660" i="1" s="1"/>
  <c r="CS660" i="1"/>
  <c r="R660" i="1" s="1"/>
  <c r="GK660" i="1" s="1"/>
  <c r="CV660" i="1"/>
  <c r="CW660" i="1"/>
  <c r="FR660" i="1"/>
  <c r="GL660" i="1"/>
  <c r="GN660" i="1"/>
  <c r="GO660" i="1"/>
  <c r="GV660" i="1"/>
  <c r="HC660" i="1" s="1"/>
  <c r="GX660" i="1" s="1"/>
  <c r="D661" i="1"/>
  <c r="I661" i="1"/>
  <c r="K661" i="1"/>
  <c r="AC661" i="1"/>
  <c r="AE661" i="1"/>
  <c r="AF661" i="1"/>
  <c r="AG661" i="1"/>
  <c r="CU661" i="1" s="1"/>
  <c r="T661" i="1" s="1"/>
  <c r="AH661" i="1"/>
  <c r="AI661" i="1"/>
  <c r="AJ661" i="1"/>
  <c r="CV661" i="1"/>
  <c r="U661" i="1" s="1"/>
  <c r="CW661" i="1"/>
  <c r="V661" i="1" s="1"/>
  <c r="CX661" i="1"/>
  <c r="W661" i="1" s="1"/>
  <c r="FR661" i="1"/>
  <c r="GL661" i="1"/>
  <c r="GN661" i="1"/>
  <c r="GO661" i="1"/>
  <c r="GV661" i="1"/>
  <c r="HC661" i="1"/>
  <c r="D662" i="1"/>
  <c r="I662" i="1"/>
  <c r="K662" i="1"/>
  <c r="Q662" i="1"/>
  <c r="R662" i="1"/>
  <c r="GK662" i="1" s="1"/>
  <c r="W662" i="1"/>
  <c r="AC662" i="1"/>
  <c r="AE662" i="1"/>
  <c r="AD662" i="1" s="1"/>
  <c r="AF662" i="1"/>
  <c r="AG662" i="1"/>
  <c r="CU662" i="1" s="1"/>
  <c r="T662" i="1" s="1"/>
  <c r="AH662" i="1"/>
  <c r="CV662" i="1" s="1"/>
  <c r="U662" i="1" s="1"/>
  <c r="AI662" i="1"/>
  <c r="CW662" i="1" s="1"/>
  <c r="V662" i="1" s="1"/>
  <c r="AJ662" i="1"/>
  <c r="CX662" i="1" s="1"/>
  <c r="CR662" i="1"/>
  <c r="CS662" i="1"/>
  <c r="CT662" i="1"/>
  <c r="S662" i="1" s="1"/>
  <c r="CY662" i="1" s="1"/>
  <c r="X662" i="1" s="1"/>
  <c r="FR662" i="1"/>
  <c r="GL662" i="1"/>
  <c r="GN662" i="1"/>
  <c r="GO662" i="1"/>
  <c r="GV662" i="1"/>
  <c r="HC662" i="1"/>
  <c r="GX662" i="1" s="1"/>
  <c r="D663" i="1"/>
  <c r="I663" i="1"/>
  <c r="K663" i="1"/>
  <c r="Q663" i="1"/>
  <c r="R663" i="1"/>
  <c r="GK663" i="1" s="1"/>
  <c r="AC663" i="1"/>
  <c r="AE663" i="1"/>
  <c r="AF663" i="1"/>
  <c r="AG663" i="1"/>
  <c r="CU663" i="1" s="1"/>
  <c r="AH663" i="1"/>
  <c r="CV663" i="1" s="1"/>
  <c r="U663" i="1" s="1"/>
  <c r="AI663" i="1"/>
  <c r="CW663" i="1" s="1"/>
  <c r="V663" i="1" s="1"/>
  <c r="AJ663" i="1"/>
  <c r="CX663" i="1" s="1"/>
  <c r="W663" i="1" s="1"/>
  <c r="CR663" i="1"/>
  <c r="CS663" i="1"/>
  <c r="CT663" i="1"/>
  <c r="FR663" i="1"/>
  <c r="GL663" i="1"/>
  <c r="GN663" i="1"/>
  <c r="GO663" i="1"/>
  <c r="GV663" i="1"/>
  <c r="HC663" i="1" s="1"/>
  <c r="D664" i="1"/>
  <c r="I664" i="1"/>
  <c r="K664" i="1"/>
  <c r="U664" i="1"/>
  <c r="AC664" i="1"/>
  <c r="CQ664" i="1" s="1"/>
  <c r="P664" i="1" s="1"/>
  <c r="AE664" i="1"/>
  <c r="AF664" i="1"/>
  <c r="AG664" i="1"/>
  <c r="AH664" i="1"/>
  <c r="AI664" i="1"/>
  <c r="AJ664" i="1"/>
  <c r="CX664" i="1" s="1"/>
  <c r="W664" i="1" s="1"/>
  <c r="CR664" i="1"/>
  <c r="Q664" i="1" s="1"/>
  <c r="CS664" i="1"/>
  <c r="CT664" i="1"/>
  <c r="CU664" i="1"/>
  <c r="CV664" i="1"/>
  <c r="CW664" i="1"/>
  <c r="FR664" i="1"/>
  <c r="GL664" i="1"/>
  <c r="GN664" i="1"/>
  <c r="GO664" i="1"/>
  <c r="GV664" i="1"/>
  <c r="HC664" i="1"/>
  <c r="GX664" i="1" s="1"/>
  <c r="D665" i="1"/>
  <c r="I665" i="1"/>
  <c r="K665" i="1"/>
  <c r="AC665" i="1"/>
  <c r="CQ665" i="1" s="1"/>
  <c r="P665" i="1" s="1"/>
  <c r="AE665" i="1"/>
  <c r="AF665" i="1"/>
  <c r="AG665" i="1"/>
  <c r="CU665" i="1" s="1"/>
  <c r="AH665" i="1"/>
  <c r="CV665" i="1" s="1"/>
  <c r="AI665" i="1"/>
  <c r="CW665" i="1" s="1"/>
  <c r="V665" i="1" s="1"/>
  <c r="AJ665" i="1"/>
  <c r="CX665" i="1" s="1"/>
  <c r="CT665" i="1"/>
  <c r="S665" i="1" s="1"/>
  <c r="FR665" i="1"/>
  <c r="GL665" i="1"/>
  <c r="GN665" i="1"/>
  <c r="GO665" i="1"/>
  <c r="GV665" i="1"/>
  <c r="HC665" i="1"/>
  <c r="D666" i="1"/>
  <c r="I666" i="1"/>
  <c r="K666" i="1"/>
  <c r="AC666" i="1"/>
  <c r="AE666" i="1"/>
  <c r="AF666" i="1"/>
  <c r="AG666" i="1"/>
  <c r="CU666" i="1" s="1"/>
  <c r="T666" i="1" s="1"/>
  <c r="AH666" i="1"/>
  <c r="CV666" i="1" s="1"/>
  <c r="AI666" i="1"/>
  <c r="CW666" i="1" s="1"/>
  <c r="AJ666" i="1"/>
  <c r="CX666" i="1"/>
  <c r="FR666" i="1"/>
  <c r="GL666" i="1"/>
  <c r="GN666" i="1"/>
  <c r="GO666" i="1"/>
  <c r="GV666" i="1"/>
  <c r="HC666" i="1" s="1"/>
  <c r="D667" i="1"/>
  <c r="I667" i="1"/>
  <c r="K667" i="1"/>
  <c r="Q667" i="1"/>
  <c r="V667" i="1"/>
  <c r="AC667" i="1"/>
  <c r="AE667" i="1"/>
  <c r="AD667" i="1" s="1"/>
  <c r="AF667" i="1"/>
  <c r="CT667" i="1" s="1"/>
  <c r="S667" i="1" s="1"/>
  <c r="AG667" i="1"/>
  <c r="AH667" i="1"/>
  <c r="CV667" i="1" s="1"/>
  <c r="U667" i="1" s="1"/>
  <c r="AI667" i="1"/>
  <c r="CW667" i="1" s="1"/>
  <c r="AJ667" i="1"/>
  <c r="CX667" i="1" s="1"/>
  <c r="W667" i="1" s="1"/>
  <c r="CR667" i="1"/>
  <c r="CS667" i="1"/>
  <c r="R667" i="1" s="1"/>
  <c r="GK667" i="1" s="1"/>
  <c r="CU667" i="1"/>
  <c r="T667" i="1" s="1"/>
  <c r="FR667" i="1"/>
  <c r="GL667" i="1"/>
  <c r="GN667" i="1"/>
  <c r="GO667" i="1"/>
  <c r="GV667" i="1"/>
  <c r="HC667" i="1" s="1"/>
  <c r="GX667" i="1" s="1"/>
  <c r="C668" i="1"/>
  <c r="D668" i="1"/>
  <c r="I668" i="1"/>
  <c r="K668" i="1"/>
  <c r="AC668" i="1"/>
  <c r="CQ668" i="1" s="1"/>
  <c r="P668" i="1" s="1"/>
  <c r="AD668" i="1"/>
  <c r="AE668" i="1"/>
  <c r="AF668" i="1"/>
  <c r="AG668" i="1"/>
  <c r="CU668" i="1" s="1"/>
  <c r="T668" i="1" s="1"/>
  <c r="AH668" i="1"/>
  <c r="CV668" i="1" s="1"/>
  <c r="U668" i="1" s="1"/>
  <c r="AI668" i="1"/>
  <c r="AJ668" i="1"/>
  <c r="CW668" i="1"/>
  <c r="V668" i="1" s="1"/>
  <c r="CX668" i="1"/>
  <c r="W668" i="1" s="1"/>
  <c r="FR668" i="1"/>
  <c r="GL668" i="1"/>
  <c r="GN668" i="1"/>
  <c r="GO668" i="1"/>
  <c r="GV668" i="1"/>
  <c r="HC668" i="1"/>
  <c r="D669" i="1"/>
  <c r="I669" i="1"/>
  <c r="K669" i="1"/>
  <c r="AC669" i="1"/>
  <c r="CQ669" i="1" s="1"/>
  <c r="P669" i="1" s="1"/>
  <c r="AE669" i="1"/>
  <c r="AF669" i="1"/>
  <c r="AG669" i="1"/>
  <c r="AH669" i="1"/>
  <c r="CV669" i="1" s="1"/>
  <c r="U669" i="1" s="1"/>
  <c r="AI669" i="1"/>
  <c r="CW669" i="1" s="1"/>
  <c r="AJ669" i="1"/>
  <c r="CX669" i="1" s="1"/>
  <c r="CR669" i="1"/>
  <c r="CS669" i="1"/>
  <c r="CT669" i="1"/>
  <c r="S669" i="1" s="1"/>
  <c r="CU669" i="1"/>
  <c r="T669" i="1" s="1"/>
  <c r="FR669" i="1"/>
  <c r="GL669" i="1"/>
  <c r="GN669" i="1"/>
  <c r="GO669" i="1"/>
  <c r="GV669" i="1"/>
  <c r="HC669" i="1"/>
  <c r="GX669" i="1" s="1"/>
  <c r="D670" i="1"/>
  <c r="I670" i="1"/>
  <c r="K670" i="1"/>
  <c r="AC670" i="1"/>
  <c r="CQ670" i="1" s="1"/>
  <c r="P670" i="1" s="1"/>
  <c r="AE670" i="1"/>
  <c r="AF670" i="1"/>
  <c r="AG670" i="1"/>
  <c r="CU670" i="1" s="1"/>
  <c r="AH670" i="1"/>
  <c r="AI670" i="1"/>
  <c r="AJ670" i="1"/>
  <c r="CV670" i="1"/>
  <c r="U670" i="1" s="1"/>
  <c r="CW670" i="1"/>
  <c r="V670" i="1" s="1"/>
  <c r="CX670" i="1"/>
  <c r="W670" i="1" s="1"/>
  <c r="FR670" i="1"/>
  <c r="GL670" i="1"/>
  <c r="GN670" i="1"/>
  <c r="GO670" i="1"/>
  <c r="GV670" i="1"/>
  <c r="HC670" i="1" s="1"/>
  <c r="C671" i="1"/>
  <c r="D671" i="1"/>
  <c r="I671" i="1"/>
  <c r="K671" i="1"/>
  <c r="AC671" i="1"/>
  <c r="AE671" i="1"/>
  <c r="AF671" i="1"/>
  <c r="AG671" i="1"/>
  <c r="CU671" i="1" s="1"/>
  <c r="AH671" i="1"/>
  <c r="CV671" i="1" s="1"/>
  <c r="AI671" i="1"/>
  <c r="CW671" i="1" s="1"/>
  <c r="AJ671" i="1"/>
  <c r="CX671" i="1" s="1"/>
  <c r="CQ671" i="1"/>
  <c r="FR671" i="1"/>
  <c r="GL671" i="1"/>
  <c r="GN671" i="1"/>
  <c r="GO671" i="1"/>
  <c r="GV671" i="1"/>
  <c r="HC671" i="1" s="1"/>
  <c r="B673" i="1"/>
  <c r="C673" i="1"/>
  <c r="D673" i="1"/>
  <c r="F673" i="1"/>
  <c r="F651" i="1" s="1"/>
  <c r="G673" i="1"/>
  <c r="BB673" i="1"/>
  <c r="BC673" i="1"/>
  <c r="BX673" i="1"/>
  <c r="BX651" i="1" s="1"/>
  <c r="CK673" i="1"/>
  <c r="CK651" i="1" s="1"/>
  <c r="CL673" i="1"/>
  <c r="CL651" i="1" s="1"/>
  <c r="CM673" i="1"/>
  <c r="B703" i="1"/>
  <c r="B488" i="1" s="1"/>
  <c r="C703" i="1"/>
  <c r="C488" i="1" s="1"/>
  <c r="D703" i="1"/>
  <c r="F703" i="1"/>
  <c r="F488" i="1" s="1"/>
  <c r="G703" i="1"/>
  <c r="B733" i="1"/>
  <c r="B22" i="1" s="1"/>
  <c r="C733" i="1"/>
  <c r="C22" i="1" s="1"/>
  <c r="D733" i="1"/>
  <c r="D22" i="1" s="1"/>
  <c r="F733" i="1"/>
  <c r="F22" i="1" s="1"/>
  <c r="G733" i="1"/>
  <c r="B763" i="1"/>
  <c r="B18" i="1" s="1"/>
  <c r="C763" i="1"/>
  <c r="C18" i="1" s="1"/>
  <c r="D763" i="1"/>
  <c r="D18" i="1" s="1"/>
  <c r="F763" i="1"/>
  <c r="F18" i="1" s="1"/>
  <c r="G763" i="1"/>
  <c r="F12" i="6"/>
  <c r="G12" i="6"/>
  <c r="CY12" i="6"/>
  <c r="J437" i="7" l="1"/>
  <c r="K443" i="8"/>
  <c r="CZ424" i="1"/>
  <c r="Y424" i="1" s="1"/>
  <c r="CY424" i="1"/>
  <c r="X424" i="1" s="1"/>
  <c r="R525" i="1"/>
  <c r="GK525" i="1" s="1"/>
  <c r="V288" i="7"/>
  <c r="V294" i="8"/>
  <c r="U171" i="8"/>
  <c r="U165" i="7"/>
  <c r="CP424" i="1"/>
  <c r="O424" i="1" s="1"/>
  <c r="L525" i="8"/>
  <c r="K519" i="7"/>
  <c r="L307" i="8"/>
  <c r="K301" i="7"/>
  <c r="U191" i="8"/>
  <c r="U185" i="7"/>
  <c r="CR498" i="1"/>
  <c r="Q498" i="1" s="1"/>
  <c r="CP498" i="1" s="1"/>
  <c r="O498" i="1" s="1"/>
  <c r="CS498" i="1"/>
  <c r="DH118" i="3"/>
  <c r="DI118" i="3"/>
  <c r="DJ118" i="3" s="1"/>
  <c r="CR499" i="1"/>
  <c r="Q499" i="1" s="1"/>
  <c r="U198" i="8"/>
  <c r="U192" i="7"/>
  <c r="CS499" i="1"/>
  <c r="F439" i="1"/>
  <c r="BB456" i="1"/>
  <c r="U434" i="7"/>
  <c r="U440" i="8"/>
  <c r="S301" i="8"/>
  <c r="S295" i="7"/>
  <c r="Q301" i="8"/>
  <c r="Q295" i="7"/>
  <c r="CT527" i="1"/>
  <c r="S527" i="1" s="1"/>
  <c r="CZ527" i="1" s="1"/>
  <c r="Y527" i="1" s="1"/>
  <c r="AE71" i="1"/>
  <c r="R78" i="1"/>
  <c r="AO619" i="1"/>
  <c r="L271" i="8"/>
  <c r="K265" i="7"/>
  <c r="CH194" i="1"/>
  <c r="AY199" i="1"/>
  <c r="AY194" i="1" s="1"/>
  <c r="CP574" i="1"/>
  <c r="O574" i="1" s="1"/>
  <c r="F253" i="1"/>
  <c r="AT231" i="1"/>
  <c r="BC78" i="1"/>
  <c r="CL71" i="1"/>
  <c r="DH142" i="3"/>
  <c r="DF142" i="3"/>
  <c r="DJ142" i="3" s="1"/>
  <c r="DG142" i="3"/>
  <c r="DI142" i="3"/>
  <c r="CY530" i="1"/>
  <c r="X530" i="1" s="1"/>
  <c r="J310" i="7"/>
  <c r="K316" i="8"/>
  <c r="L313" i="8"/>
  <c r="K307" i="7"/>
  <c r="GX654" i="1"/>
  <c r="CT120" i="1"/>
  <c r="S120" i="1" s="1"/>
  <c r="S104" i="8"/>
  <c r="Q104" i="8"/>
  <c r="S98" i="7"/>
  <c r="Q98" i="7"/>
  <c r="F527" i="8"/>
  <c r="E521" i="7"/>
  <c r="D528" i="8"/>
  <c r="C522" i="7"/>
  <c r="DI68" i="3"/>
  <c r="DJ68" i="3" s="1"/>
  <c r="DG68" i="3"/>
  <c r="DH68" i="3"/>
  <c r="DF68" i="3"/>
  <c r="CK567" i="1"/>
  <c r="BB577" i="1"/>
  <c r="BB567" i="1" s="1"/>
  <c r="AP162" i="1"/>
  <c r="CI162" i="1"/>
  <c r="AB660" i="1"/>
  <c r="CR502" i="1"/>
  <c r="Q502" i="1" s="1"/>
  <c r="CS502" i="1"/>
  <c r="R502" i="1" s="1"/>
  <c r="GK502" i="1" s="1"/>
  <c r="AD502" i="1"/>
  <c r="AH344" i="1"/>
  <c r="AH339" i="1" s="1"/>
  <c r="L136" i="8"/>
  <c r="K130" i="7"/>
  <c r="L404" i="8"/>
  <c r="K398" i="7"/>
  <c r="S322" i="8"/>
  <c r="Q322" i="8"/>
  <c r="S316" i="7"/>
  <c r="Q316" i="7"/>
  <c r="K254" i="8"/>
  <c r="J248" i="7"/>
  <c r="R503" i="1"/>
  <c r="V206" i="8"/>
  <c r="K213" i="8" s="1"/>
  <c r="V200" i="7"/>
  <c r="J207" i="7" s="1"/>
  <c r="U412" i="1"/>
  <c r="U111" i="8"/>
  <c r="U105" i="7"/>
  <c r="S73" i="1"/>
  <c r="CY73" i="1" s="1"/>
  <c r="X73" i="1" s="1"/>
  <c r="G30" i="1"/>
  <c r="A68" i="8"/>
  <c r="A62" i="7"/>
  <c r="DG91" i="3"/>
  <c r="J353" i="7"/>
  <c r="K359" i="8"/>
  <c r="CZ571" i="1"/>
  <c r="Y571" i="1" s="1"/>
  <c r="K400" i="8"/>
  <c r="J394" i="7"/>
  <c r="J346" i="7"/>
  <c r="K352" i="8"/>
  <c r="CT617" i="1"/>
  <c r="S617" i="1" s="1"/>
  <c r="S428" i="8"/>
  <c r="Q428" i="8"/>
  <c r="S422" i="7"/>
  <c r="Q422" i="7"/>
  <c r="CR517" i="1"/>
  <c r="Q517" i="1" s="1"/>
  <c r="U253" i="7"/>
  <c r="U259" i="8"/>
  <c r="CS517" i="1"/>
  <c r="S191" i="8"/>
  <c r="Q191" i="8"/>
  <c r="Q185" i="7"/>
  <c r="S185" i="7"/>
  <c r="CT498" i="1"/>
  <c r="S498" i="1" s="1"/>
  <c r="CS419" i="1"/>
  <c r="R419" i="1" s="1"/>
  <c r="GK419" i="1" s="1"/>
  <c r="CR419" i="1"/>
  <c r="Q419" i="1" s="1"/>
  <c r="CP419" i="1" s="1"/>
  <c r="O419" i="1" s="1"/>
  <c r="GM419" i="1" s="1"/>
  <c r="GP419" i="1" s="1"/>
  <c r="AH194" i="1"/>
  <c r="U199" i="1"/>
  <c r="U194" i="1" s="1"/>
  <c r="DG121" i="3"/>
  <c r="DF121" i="3"/>
  <c r="DJ121" i="3" s="1"/>
  <c r="DH121" i="3"/>
  <c r="DI121" i="3"/>
  <c r="K262" i="8"/>
  <c r="J256" i="7"/>
  <c r="CT499" i="1"/>
  <c r="S192" i="7"/>
  <c r="S198" i="8"/>
  <c r="Q198" i="8"/>
  <c r="Q192" i="7"/>
  <c r="CT653" i="1"/>
  <c r="S653" i="1" s="1"/>
  <c r="CY653" i="1" s="1"/>
  <c r="X653" i="1" s="1"/>
  <c r="Q434" i="7"/>
  <c r="S440" i="8"/>
  <c r="Q440" i="8"/>
  <c r="S434" i="7"/>
  <c r="AF71" i="1"/>
  <c r="S78" i="1"/>
  <c r="DF129" i="3"/>
  <c r="DJ129" i="3" s="1"/>
  <c r="DG129" i="3"/>
  <c r="DH129" i="3"/>
  <c r="DI129" i="3"/>
  <c r="CQ271" i="1"/>
  <c r="P271" i="1" s="1"/>
  <c r="CP271" i="1" s="1"/>
  <c r="O271" i="1" s="1"/>
  <c r="AB271" i="1"/>
  <c r="J508" i="7"/>
  <c r="K514" i="8"/>
  <c r="G609" i="1"/>
  <c r="A436" i="8"/>
  <c r="A430" i="7"/>
  <c r="AD525" i="1"/>
  <c r="U288" i="7"/>
  <c r="U294" i="8"/>
  <c r="CY518" i="1"/>
  <c r="X518" i="1" s="1"/>
  <c r="CZ518" i="1"/>
  <c r="Y518" i="1" s="1"/>
  <c r="AB654" i="1"/>
  <c r="CP524" i="1"/>
  <c r="O524" i="1" s="1"/>
  <c r="F252" i="1"/>
  <c r="AS231" i="1"/>
  <c r="J453" i="7"/>
  <c r="K459" i="8"/>
  <c r="AU231" i="1"/>
  <c r="U94" i="8"/>
  <c r="U88" i="7"/>
  <c r="CS119" i="1"/>
  <c r="CR119" i="1"/>
  <c r="Q119" i="1" s="1"/>
  <c r="J410" i="7"/>
  <c r="K416" i="8"/>
  <c r="W235" i="1"/>
  <c r="AJ231" i="1"/>
  <c r="L109" i="8"/>
  <c r="K103" i="7"/>
  <c r="AB112" i="1"/>
  <c r="AB501" i="1"/>
  <c r="C45" i="7"/>
  <c r="E44" i="7"/>
  <c r="F50" i="8"/>
  <c r="D51" i="8"/>
  <c r="CU2" i="3"/>
  <c r="L378" i="8"/>
  <c r="K372" i="7"/>
  <c r="L328" i="8"/>
  <c r="K322" i="7"/>
  <c r="J144" i="7"/>
  <c r="K150" i="8"/>
  <c r="R117" i="1"/>
  <c r="V66" i="7"/>
  <c r="J74" i="7" s="1"/>
  <c r="V72" i="8"/>
  <c r="K80" i="8" s="1"/>
  <c r="A529" i="7"/>
  <c r="A535" i="8"/>
  <c r="G651" i="1"/>
  <c r="CY571" i="1"/>
  <c r="X571" i="1" s="1"/>
  <c r="J158" i="7"/>
  <c r="K164" i="8"/>
  <c r="F216" i="1"/>
  <c r="AS194" i="1"/>
  <c r="G18" i="1"/>
  <c r="A544" i="8"/>
  <c r="A538" i="7"/>
  <c r="L494" i="8"/>
  <c r="K488" i="7"/>
  <c r="F480" i="8"/>
  <c r="C475" i="7"/>
  <c r="E474" i="7"/>
  <c r="D481" i="8"/>
  <c r="V612" i="1"/>
  <c r="J338" i="7"/>
  <c r="K344" i="8"/>
  <c r="CT533" i="1"/>
  <c r="S533" i="1" s="1"/>
  <c r="S324" i="7"/>
  <c r="S330" i="8"/>
  <c r="Q330" i="8"/>
  <c r="Q324" i="7"/>
  <c r="AD532" i="1"/>
  <c r="AB532" i="1" s="1"/>
  <c r="U322" i="8"/>
  <c r="U316" i="7"/>
  <c r="U267" i="7"/>
  <c r="U273" i="8"/>
  <c r="AB515" i="1"/>
  <c r="CT510" i="1"/>
  <c r="S230" i="8"/>
  <c r="Q230" i="8"/>
  <c r="Q224" i="7"/>
  <c r="S224" i="7"/>
  <c r="L179" i="8"/>
  <c r="K173" i="7"/>
  <c r="S149" i="7"/>
  <c r="S155" i="8"/>
  <c r="Q155" i="8"/>
  <c r="Q149" i="7"/>
  <c r="CT418" i="1"/>
  <c r="S418" i="1" s="1"/>
  <c r="T412" i="1"/>
  <c r="BB410" i="1"/>
  <c r="G335" i="1"/>
  <c r="A142" i="8"/>
  <c r="A136" i="7"/>
  <c r="AD121" i="1"/>
  <c r="AD73" i="1"/>
  <c r="CR73" i="1"/>
  <c r="Q73" i="1" s="1"/>
  <c r="CS73" i="1"/>
  <c r="R73" i="1" s="1"/>
  <c r="GK73" i="1" s="1"/>
  <c r="DF91" i="3"/>
  <c r="DJ91" i="3" s="1"/>
  <c r="DH77" i="3"/>
  <c r="DI77" i="3"/>
  <c r="DJ77" i="3" s="1"/>
  <c r="DF77" i="3"/>
  <c r="DG77" i="3"/>
  <c r="CP527" i="1"/>
  <c r="O527" i="1" s="1"/>
  <c r="K304" i="8"/>
  <c r="J298" i="7"/>
  <c r="S413" i="1"/>
  <c r="CY413" i="1" s="1"/>
  <c r="X413" i="1" s="1"/>
  <c r="CT517" i="1"/>
  <c r="S517" i="1" s="1"/>
  <c r="CP517" i="1" s="1"/>
  <c r="O517" i="1" s="1"/>
  <c r="Q259" i="8"/>
  <c r="S253" i="7"/>
  <c r="Q253" i="7"/>
  <c r="S259" i="8"/>
  <c r="F230" i="8"/>
  <c r="E224" i="7"/>
  <c r="C225" i="7"/>
  <c r="D231" i="8"/>
  <c r="J169" i="7"/>
  <c r="K175" i="8"/>
  <c r="L160" i="8"/>
  <c r="K154" i="7"/>
  <c r="R573" i="1"/>
  <c r="GK573" i="1" s="1"/>
  <c r="V366" i="7"/>
  <c r="V372" i="8"/>
  <c r="AO235" i="1"/>
  <c r="AO303" i="1" s="1"/>
  <c r="BX231" i="1"/>
  <c r="CV41" i="3"/>
  <c r="CX41" i="3"/>
  <c r="J195" i="7"/>
  <c r="K201" i="8"/>
  <c r="BZ267" i="1"/>
  <c r="CG273" i="1"/>
  <c r="CT655" i="1"/>
  <c r="S655" i="1" s="1"/>
  <c r="S442" i="7"/>
  <c r="Q442" i="7"/>
  <c r="S448" i="8"/>
  <c r="Q448" i="8"/>
  <c r="L412" i="8"/>
  <c r="K406" i="7"/>
  <c r="CI273" i="1"/>
  <c r="AP273" i="1"/>
  <c r="BY267" i="1"/>
  <c r="AT426" i="1"/>
  <c r="AT410" i="1" s="1"/>
  <c r="CG194" i="1"/>
  <c r="AX199" i="1"/>
  <c r="AX194" i="1" s="1"/>
  <c r="CY112" i="1"/>
  <c r="X112" i="1" s="1"/>
  <c r="CZ112" i="1"/>
  <c r="Y112" i="1" s="1"/>
  <c r="J290" i="7"/>
  <c r="K296" i="8"/>
  <c r="DG137" i="3"/>
  <c r="DI137" i="3"/>
  <c r="DF137" i="3"/>
  <c r="DJ137" i="3" s="1"/>
  <c r="DH137" i="3"/>
  <c r="CX49" i="3"/>
  <c r="DI49" i="3" s="1"/>
  <c r="DJ49" i="3" s="1"/>
  <c r="CV49" i="3"/>
  <c r="R664" i="1"/>
  <c r="GK664" i="1" s="1"/>
  <c r="V488" i="8"/>
  <c r="V482" i="7"/>
  <c r="CP196" i="1"/>
  <c r="O196" i="1" s="1"/>
  <c r="K324" i="8"/>
  <c r="J318" i="7"/>
  <c r="R530" i="1"/>
  <c r="GK530" i="1" s="1"/>
  <c r="V315" i="8"/>
  <c r="V309" i="7"/>
  <c r="CC339" i="1"/>
  <c r="V235" i="1"/>
  <c r="AI231" i="1"/>
  <c r="K413" i="1"/>
  <c r="I413" i="1"/>
  <c r="T413" i="1" s="1"/>
  <c r="AH231" i="1"/>
  <c r="U235" i="1"/>
  <c r="U482" i="7"/>
  <c r="U488" i="8"/>
  <c r="AD664" i="1"/>
  <c r="AB664" i="1" s="1"/>
  <c r="K491" i="8"/>
  <c r="J485" i="7"/>
  <c r="L335" i="8"/>
  <c r="K329" i="7"/>
  <c r="C99" i="7"/>
  <c r="E98" i="7"/>
  <c r="D105" i="8"/>
  <c r="F104" i="8"/>
  <c r="DH91" i="3"/>
  <c r="BZ673" i="1"/>
  <c r="BZ651" i="1" s="1"/>
  <c r="K513" i="8"/>
  <c r="J507" i="7"/>
  <c r="CR666" i="1"/>
  <c r="U490" i="7"/>
  <c r="U496" i="8"/>
  <c r="AD666" i="1"/>
  <c r="AB666" i="1" s="1"/>
  <c r="U612" i="1"/>
  <c r="L363" i="8"/>
  <c r="K357" i="7"/>
  <c r="J345" i="7"/>
  <c r="K351" i="8"/>
  <c r="AJ577" i="1"/>
  <c r="AJ567" i="1" s="1"/>
  <c r="U330" i="8"/>
  <c r="U324" i="7"/>
  <c r="K275" i="8"/>
  <c r="J269" i="7"/>
  <c r="K222" i="7"/>
  <c r="L228" i="8"/>
  <c r="CQ422" i="1"/>
  <c r="P422" i="1" s="1"/>
  <c r="AB422" i="1"/>
  <c r="U149" i="7"/>
  <c r="U155" i="8"/>
  <c r="CS418" i="1"/>
  <c r="S412" i="1"/>
  <c r="CY412" i="1" s="1"/>
  <c r="X412" i="1" s="1"/>
  <c r="CL410" i="1"/>
  <c r="AG194" i="1"/>
  <c r="S74" i="1"/>
  <c r="BY30" i="1"/>
  <c r="AP39" i="1"/>
  <c r="CR522" i="1"/>
  <c r="Q522" i="1" s="1"/>
  <c r="CP522" i="1" s="1"/>
  <c r="O522" i="1" s="1"/>
  <c r="U280" i="8"/>
  <c r="U274" i="7"/>
  <c r="CS522" i="1"/>
  <c r="U422" i="7"/>
  <c r="U428" i="8"/>
  <c r="AD522" i="1"/>
  <c r="AD419" i="1"/>
  <c r="K349" i="7"/>
  <c r="L355" i="8"/>
  <c r="K283" i="8"/>
  <c r="J277" i="7"/>
  <c r="CZ501" i="1"/>
  <c r="Y501" i="1" s="1"/>
  <c r="CY501" i="1"/>
  <c r="X501" i="1" s="1"/>
  <c r="AD498" i="1"/>
  <c r="AF194" i="1"/>
  <c r="S199" i="1"/>
  <c r="AD613" i="1"/>
  <c r="CS613" i="1"/>
  <c r="R613" i="1" s="1"/>
  <c r="GK613" i="1" s="1"/>
  <c r="AB498" i="1"/>
  <c r="K289" i="8"/>
  <c r="J283" i="7"/>
  <c r="Q78" i="1"/>
  <c r="AD71" i="1"/>
  <c r="R655" i="1"/>
  <c r="GK655" i="1" s="1"/>
  <c r="V442" i="7"/>
  <c r="V448" i="8"/>
  <c r="AB424" i="1"/>
  <c r="BD78" i="1"/>
  <c r="F103" i="1" s="1"/>
  <c r="CM71" i="1"/>
  <c r="CV126" i="3"/>
  <c r="CX126" i="3"/>
  <c r="AD504" i="1"/>
  <c r="CR504" i="1"/>
  <c r="Q504" i="1" s="1"/>
  <c r="CS504" i="1"/>
  <c r="R504" i="1" s="1"/>
  <c r="GK504" i="1" s="1"/>
  <c r="C435" i="7"/>
  <c r="D441" i="8"/>
  <c r="F440" i="8"/>
  <c r="E434" i="7"/>
  <c r="AQ273" i="1"/>
  <c r="BB71" i="1"/>
  <c r="F91" i="1"/>
  <c r="DI134" i="3"/>
  <c r="DF134" i="3"/>
  <c r="DJ134" i="3" s="1"/>
  <c r="DG134" i="3"/>
  <c r="DH134" i="3"/>
  <c r="L320" i="8"/>
  <c r="K314" i="7"/>
  <c r="L486" i="8"/>
  <c r="K480" i="7"/>
  <c r="F448" i="8"/>
  <c r="C443" i="7"/>
  <c r="D449" i="8"/>
  <c r="E442" i="7"/>
  <c r="DG40" i="3"/>
  <c r="DH40" i="3"/>
  <c r="V316" i="7"/>
  <c r="V322" i="8"/>
  <c r="R532" i="1"/>
  <c r="GK532" i="1" s="1"/>
  <c r="DF83" i="3"/>
  <c r="DJ83" i="3" s="1"/>
  <c r="DG83" i="3"/>
  <c r="DH83" i="3"/>
  <c r="DI83" i="3"/>
  <c r="CT661" i="1"/>
  <c r="S661" i="1" s="1"/>
  <c r="Q466" i="7"/>
  <c r="S472" i="8"/>
  <c r="Q472" i="8"/>
  <c r="S466" i="7"/>
  <c r="CP37" i="1"/>
  <c r="O37" i="1" s="1"/>
  <c r="GM37" i="1" s="1"/>
  <c r="GP37" i="1" s="1"/>
  <c r="U472" i="8"/>
  <c r="U466" i="7"/>
  <c r="CY422" i="1"/>
  <c r="X422" i="1" s="1"/>
  <c r="CZ422" i="1"/>
  <c r="Y422" i="1" s="1"/>
  <c r="V412" i="1"/>
  <c r="F43" i="1"/>
  <c r="AO30" i="1"/>
  <c r="C459" i="7"/>
  <c r="D465" i="8"/>
  <c r="E458" i="7"/>
  <c r="F464" i="8"/>
  <c r="G567" i="1"/>
  <c r="A391" i="8"/>
  <c r="A385" i="7"/>
  <c r="V505" i="7"/>
  <c r="V511" i="8"/>
  <c r="R669" i="1"/>
  <c r="GK669" i="1" s="1"/>
  <c r="L509" i="8"/>
  <c r="K503" i="7"/>
  <c r="R570" i="1"/>
  <c r="GK570" i="1" s="1"/>
  <c r="V343" i="7"/>
  <c r="V349" i="8"/>
  <c r="AI577" i="1"/>
  <c r="L265" i="8"/>
  <c r="K259" i="7"/>
  <c r="CS424" i="1"/>
  <c r="R424" i="1" s="1"/>
  <c r="GK424" i="1" s="1"/>
  <c r="S171" i="8"/>
  <c r="Q171" i="8"/>
  <c r="S165" i="7"/>
  <c r="Q165" i="7"/>
  <c r="CT423" i="1"/>
  <c r="S423" i="1" s="1"/>
  <c r="CK410" i="1"/>
  <c r="U75" i="1"/>
  <c r="CS74" i="1"/>
  <c r="R74" i="1" s="1"/>
  <c r="GK74" i="1" s="1"/>
  <c r="CR74" i="1"/>
  <c r="Q74" i="1" s="1"/>
  <c r="AB73" i="1"/>
  <c r="W35" i="1"/>
  <c r="AJ39" i="1" s="1"/>
  <c r="AG39" i="1"/>
  <c r="AG30" i="1" s="1"/>
  <c r="DI82" i="3"/>
  <c r="DF82" i="3"/>
  <c r="DJ82" i="3" s="1"/>
  <c r="DH82" i="3"/>
  <c r="DG82" i="3"/>
  <c r="GX74" i="1"/>
  <c r="V35" i="1"/>
  <c r="E450" i="7"/>
  <c r="D457" i="8"/>
  <c r="C451" i="7"/>
  <c r="F456" i="8"/>
  <c r="L426" i="8"/>
  <c r="K420" i="7"/>
  <c r="CS512" i="1"/>
  <c r="U238" i="8"/>
  <c r="U232" i="7"/>
  <c r="CF194" i="1"/>
  <c r="AW199" i="1"/>
  <c r="F205" i="1" s="1"/>
  <c r="O78" i="1"/>
  <c r="O71" i="1" s="1"/>
  <c r="AB71" i="1"/>
  <c r="GX73" i="1"/>
  <c r="R34" i="1"/>
  <c r="GK34" i="1" s="1"/>
  <c r="V43" i="8"/>
  <c r="V37" i="7"/>
  <c r="AB667" i="1"/>
  <c r="CQ667" i="1"/>
  <c r="P667" i="1" s="1"/>
  <c r="CP667" i="1" s="1"/>
  <c r="O667" i="1" s="1"/>
  <c r="F488" i="8"/>
  <c r="E482" i="7"/>
  <c r="C483" i="7"/>
  <c r="D489" i="8"/>
  <c r="U72" i="8"/>
  <c r="U66" i="7"/>
  <c r="CR117" i="1"/>
  <c r="Q117" i="1" s="1"/>
  <c r="AD116" i="1"/>
  <c r="CS116" i="1"/>
  <c r="R116" i="1" s="1"/>
  <c r="GK116" i="1" s="1"/>
  <c r="CF78" i="1"/>
  <c r="S35" i="1"/>
  <c r="CT572" i="1"/>
  <c r="S572" i="1" s="1"/>
  <c r="Q365" i="8"/>
  <c r="S359" i="7"/>
  <c r="Q359" i="7"/>
  <c r="S365" i="8"/>
  <c r="CT569" i="1"/>
  <c r="S569" i="1" s="1"/>
  <c r="S336" i="7"/>
  <c r="Q336" i="7"/>
  <c r="S342" i="8"/>
  <c r="Q342" i="8"/>
  <c r="AD511" i="1"/>
  <c r="AB511" i="1" s="1"/>
  <c r="CY420" i="1"/>
  <c r="X420" i="1" s="1"/>
  <c r="CZ420" i="1"/>
  <c r="Y420" i="1" s="1"/>
  <c r="AT199" i="1"/>
  <c r="CC194" i="1"/>
  <c r="CP116" i="1"/>
  <c r="O116" i="1" s="1"/>
  <c r="GM116" i="1" s="1"/>
  <c r="GP116" i="1" s="1"/>
  <c r="R35" i="1"/>
  <c r="GK35" i="1" s="1"/>
  <c r="V50" i="8"/>
  <c r="V44" i="7"/>
  <c r="Q35" i="1"/>
  <c r="L169" i="8"/>
  <c r="K163" i="7"/>
  <c r="D130" i="8"/>
  <c r="E123" i="7"/>
  <c r="F129" i="8"/>
  <c r="C124" i="7"/>
  <c r="GX120" i="1"/>
  <c r="CJ124" i="1" s="1"/>
  <c r="K522" i="8"/>
  <c r="J516" i="7"/>
  <c r="K193" i="8"/>
  <c r="J187" i="7"/>
  <c r="AC156" i="1"/>
  <c r="P162" i="1"/>
  <c r="F100" i="1"/>
  <c r="U71" i="1"/>
  <c r="S657" i="1"/>
  <c r="W655" i="1"/>
  <c r="L433" i="8"/>
  <c r="K427" i="7"/>
  <c r="Q421" i="8"/>
  <c r="S421" i="8"/>
  <c r="S415" i="7"/>
  <c r="Q415" i="7"/>
  <c r="CT616" i="1"/>
  <c r="S616" i="1" s="1"/>
  <c r="CY616" i="1" s="1"/>
  <c r="X616" i="1" s="1"/>
  <c r="R611" i="1"/>
  <c r="V395" i="8"/>
  <c r="K403" i="8" s="1"/>
  <c r="V389" i="7"/>
  <c r="J397" i="7" s="1"/>
  <c r="CT573" i="1"/>
  <c r="S573" i="1" s="1"/>
  <c r="S372" i="8"/>
  <c r="Q366" i="7"/>
  <c r="S366" i="7"/>
  <c r="Q372" i="8"/>
  <c r="F357" i="8"/>
  <c r="C352" i="7"/>
  <c r="E351" i="7"/>
  <c r="D358" i="8"/>
  <c r="R524" i="1"/>
  <c r="GK524" i="1" s="1"/>
  <c r="V288" i="8"/>
  <c r="V282" i="7"/>
  <c r="GX517" i="1"/>
  <c r="K251" i="7"/>
  <c r="L257" i="8"/>
  <c r="CT421" i="1"/>
  <c r="S421" i="1" s="1"/>
  <c r="CP421" i="1" s="1"/>
  <c r="O421" i="1" s="1"/>
  <c r="S162" i="8"/>
  <c r="Q162" i="8"/>
  <c r="S156" i="7"/>
  <c r="Q156" i="7"/>
  <c r="Q413" i="1"/>
  <c r="CD267" i="1"/>
  <c r="AU273" i="1"/>
  <c r="F292" i="1" s="1"/>
  <c r="V74" i="1"/>
  <c r="L65" i="8"/>
  <c r="K59" i="7"/>
  <c r="CV101" i="3"/>
  <c r="CX101" i="3"/>
  <c r="CV92" i="3"/>
  <c r="CX92" i="3"/>
  <c r="DH36" i="3"/>
  <c r="DG36" i="3"/>
  <c r="L517" i="8"/>
  <c r="K511" i="7"/>
  <c r="K341" i="7"/>
  <c r="L347" i="8"/>
  <c r="C254" i="7"/>
  <c r="D260" i="8"/>
  <c r="E253" i="7"/>
  <c r="F259" i="8"/>
  <c r="R413" i="1"/>
  <c r="GK413" i="1" s="1"/>
  <c r="U35" i="1"/>
  <c r="CX2" i="3"/>
  <c r="DG2" i="3" s="1"/>
  <c r="K375" i="8"/>
  <c r="J369" i="7"/>
  <c r="K208" i="7"/>
  <c r="L214" i="8"/>
  <c r="S357" i="8"/>
  <c r="Q357" i="8"/>
  <c r="S351" i="7"/>
  <c r="Q351" i="7"/>
  <c r="L250" i="8"/>
  <c r="K244" i="7"/>
  <c r="K149" i="8"/>
  <c r="J143" i="7"/>
  <c r="CH273" i="1"/>
  <c r="CH267" i="1" s="1"/>
  <c r="U671" i="1"/>
  <c r="AB196" i="1"/>
  <c r="DF130" i="3"/>
  <c r="DJ130" i="3" s="1"/>
  <c r="DH130" i="3"/>
  <c r="DG130" i="3"/>
  <c r="DI130" i="3"/>
  <c r="U519" i="8"/>
  <c r="U513" i="7"/>
  <c r="AG619" i="1"/>
  <c r="AG609" i="1" s="1"/>
  <c r="CP513" i="1"/>
  <c r="O513" i="1" s="1"/>
  <c r="CR503" i="1"/>
  <c r="Q503" i="1" s="1"/>
  <c r="U206" i="8"/>
  <c r="U200" i="7"/>
  <c r="CT671" i="1"/>
  <c r="S671" i="1" s="1"/>
  <c r="Q521" i="7"/>
  <c r="S521" i="7"/>
  <c r="S527" i="8"/>
  <c r="Q527" i="8"/>
  <c r="F504" i="8"/>
  <c r="E498" i="7"/>
  <c r="D505" i="8"/>
  <c r="C499" i="7"/>
  <c r="K397" i="8"/>
  <c r="J391" i="7"/>
  <c r="U261" i="7"/>
  <c r="U267" i="8"/>
  <c r="CS519" i="1"/>
  <c r="AD519" i="1"/>
  <c r="AB519" i="1" s="1"/>
  <c r="CE273" i="1"/>
  <c r="AV273" i="1" s="1"/>
  <c r="AD118" i="1"/>
  <c r="AB118" i="1" s="1"/>
  <c r="U83" i="8"/>
  <c r="U77" i="7"/>
  <c r="CR118" i="1"/>
  <c r="CS118" i="1"/>
  <c r="V71" i="1"/>
  <c r="DF47" i="3"/>
  <c r="DG47" i="3"/>
  <c r="DJ47" i="3" s="1"/>
  <c r="U527" i="8"/>
  <c r="U521" i="7"/>
  <c r="V664" i="1"/>
  <c r="V655" i="1"/>
  <c r="AI673" i="1" s="1"/>
  <c r="U415" i="7"/>
  <c r="U421" i="8"/>
  <c r="CR616" i="1"/>
  <c r="Q616" i="1" s="1"/>
  <c r="CS616" i="1"/>
  <c r="S374" i="7"/>
  <c r="Q374" i="7"/>
  <c r="S380" i="8"/>
  <c r="Q380" i="8"/>
  <c r="CP507" i="1"/>
  <c r="O507" i="1" s="1"/>
  <c r="K225" i="8"/>
  <c r="J219" i="7"/>
  <c r="U162" i="8"/>
  <c r="U156" i="7"/>
  <c r="CS421" i="1"/>
  <c r="AD413" i="1"/>
  <c r="AT273" i="1"/>
  <c r="CC267" i="1"/>
  <c r="D73" i="8"/>
  <c r="E66" i="7"/>
  <c r="C67" i="7"/>
  <c r="F72" i="8"/>
  <c r="V73" i="1"/>
  <c r="T35" i="1"/>
  <c r="S37" i="7"/>
  <c r="Q37" i="7"/>
  <c r="Q43" i="8"/>
  <c r="S43" i="8"/>
  <c r="K45" i="8"/>
  <c r="J39" i="7"/>
  <c r="CT668" i="1"/>
  <c r="S668" i="1" s="1"/>
  <c r="CY668" i="1" s="1"/>
  <c r="X668" i="1" s="1"/>
  <c r="Q504" i="8"/>
  <c r="S504" i="8"/>
  <c r="S498" i="7"/>
  <c r="Q498" i="7"/>
  <c r="K382" i="7"/>
  <c r="L388" i="8"/>
  <c r="K325" i="8"/>
  <c r="J319" i="7"/>
  <c r="J375" i="7"/>
  <c r="K381" i="8"/>
  <c r="L92" i="8"/>
  <c r="K86" i="7"/>
  <c r="CP113" i="1"/>
  <c r="O113" i="1" s="1"/>
  <c r="V666" i="1"/>
  <c r="D497" i="8"/>
  <c r="F496" i="8"/>
  <c r="C491" i="7"/>
  <c r="E490" i="7"/>
  <c r="S206" i="8"/>
  <c r="Q206" i="8"/>
  <c r="S200" i="7"/>
  <c r="Q200" i="7"/>
  <c r="CT503" i="1"/>
  <c r="S503" i="1" s="1"/>
  <c r="CY503" i="1" s="1"/>
  <c r="X503" i="1" s="1"/>
  <c r="Y71" i="1"/>
  <c r="AD156" i="1"/>
  <c r="Q162" i="1"/>
  <c r="L102" i="8"/>
  <c r="K96" i="7"/>
  <c r="X71" i="1"/>
  <c r="CM567" i="1"/>
  <c r="BD577" i="1"/>
  <c r="BD567" i="1" s="1"/>
  <c r="BB194" i="1"/>
  <c r="F212" i="1"/>
  <c r="P118" i="1"/>
  <c r="E77" i="7"/>
  <c r="D84" i="8"/>
  <c r="C78" i="7"/>
  <c r="F83" i="8"/>
  <c r="U73" i="1"/>
  <c r="CV64" i="3"/>
  <c r="CX64" i="3"/>
  <c r="DG64" i="3" s="1"/>
  <c r="L370" i="8"/>
  <c r="K364" i="7"/>
  <c r="L153" i="8"/>
  <c r="K147" i="7"/>
  <c r="BA78" i="1"/>
  <c r="CJ71" i="1"/>
  <c r="DH34" i="3"/>
  <c r="DF34" i="3"/>
  <c r="J311" i="7"/>
  <c r="K317" i="8"/>
  <c r="AD512" i="1"/>
  <c r="AB512" i="1" s="1"/>
  <c r="CK71" i="1"/>
  <c r="DI128" i="3"/>
  <c r="DF128" i="3"/>
  <c r="DJ128" i="3" s="1"/>
  <c r="DG128" i="3"/>
  <c r="DH128" i="3"/>
  <c r="S511" i="8"/>
  <c r="Q511" i="8"/>
  <c r="S505" i="7"/>
  <c r="Q505" i="7"/>
  <c r="AB502" i="1"/>
  <c r="AD117" i="1"/>
  <c r="AB117" i="1" s="1"/>
  <c r="CT670" i="1"/>
  <c r="S670" i="1" s="1"/>
  <c r="S513" i="7"/>
  <c r="Q513" i="7"/>
  <c r="S519" i="8"/>
  <c r="Q519" i="8"/>
  <c r="U359" i="7"/>
  <c r="U365" i="8"/>
  <c r="K190" i="7"/>
  <c r="L196" i="8"/>
  <c r="K77" i="8"/>
  <c r="J71" i="7"/>
  <c r="T671" i="1"/>
  <c r="U657" i="1"/>
  <c r="S261" i="7"/>
  <c r="Q261" i="7"/>
  <c r="S267" i="8"/>
  <c r="Q267" i="8"/>
  <c r="CT519" i="1"/>
  <c r="S519" i="1" s="1"/>
  <c r="CZ519" i="1" s="1"/>
  <c r="Y519" i="1" s="1"/>
  <c r="CT514" i="1"/>
  <c r="S514" i="1" s="1"/>
  <c r="S240" i="7"/>
  <c r="Q240" i="7"/>
  <c r="S246" i="8"/>
  <c r="Q246" i="8"/>
  <c r="K198" i="7"/>
  <c r="L204" i="8"/>
  <c r="CT118" i="1"/>
  <c r="S118" i="1" s="1"/>
  <c r="Q83" i="8"/>
  <c r="S83" i="8"/>
  <c r="Q77" i="7"/>
  <c r="S77" i="7"/>
  <c r="GX670" i="1"/>
  <c r="D520" i="8"/>
  <c r="E513" i="7"/>
  <c r="F519" i="8"/>
  <c r="C514" i="7"/>
  <c r="F511" i="8"/>
  <c r="E505" i="7"/>
  <c r="D512" i="8"/>
  <c r="C506" i="7"/>
  <c r="S663" i="1"/>
  <c r="CY663" i="1" s="1"/>
  <c r="X663" i="1" s="1"/>
  <c r="U655" i="1"/>
  <c r="U374" i="7"/>
  <c r="U380" i="8"/>
  <c r="AD575" i="1"/>
  <c r="K293" i="7"/>
  <c r="L299" i="8"/>
  <c r="CP521" i="1"/>
  <c r="O521" i="1" s="1"/>
  <c r="CZ497" i="1"/>
  <c r="Y497" i="1" s="1"/>
  <c r="CY497" i="1"/>
  <c r="X497" i="1" s="1"/>
  <c r="V658" i="1"/>
  <c r="V301" i="8"/>
  <c r="V295" i="7"/>
  <c r="CT520" i="1"/>
  <c r="S520" i="1" s="1"/>
  <c r="CY520" i="1" s="1"/>
  <c r="X520" i="1" s="1"/>
  <c r="S267" i="7"/>
  <c r="S273" i="8"/>
  <c r="Q273" i="8"/>
  <c r="Q267" i="7"/>
  <c r="U246" i="7"/>
  <c r="U252" i="8"/>
  <c r="CR515" i="1"/>
  <c r="Q515" i="1" s="1"/>
  <c r="CP515" i="1" s="1"/>
  <c r="O515" i="1" s="1"/>
  <c r="CS515" i="1"/>
  <c r="CR497" i="1"/>
  <c r="Q497" i="1" s="1"/>
  <c r="CP497" i="1" s="1"/>
  <c r="O497" i="1" s="1"/>
  <c r="GM497" i="1" s="1"/>
  <c r="GP497" i="1" s="1"/>
  <c r="AD497" i="1"/>
  <c r="AB497" i="1" s="1"/>
  <c r="G339" i="1"/>
  <c r="A139" i="8"/>
  <c r="A133" i="7"/>
  <c r="CA267" i="1"/>
  <c r="AR273" i="1"/>
  <c r="AU199" i="1"/>
  <c r="S94" i="8"/>
  <c r="S88" i="7"/>
  <c r="Q88" i="7"/>
  <c r="Q94" i="8"/>
  <c r="T73" i="1"/>
  <c r="CS33" i="1"/>
  <c r="R33" i="1" s="1"/>
  <c r="GK33" i="1" s="1"/>
  <c r="CR33" i="1"/>
  <c r="Q33" i="1" s="1"/>
  <c r="T612" i="1"/>
  <c r="P571" i="1"/>
  <c r="AC577" i="1" s="1"/>
  <c r="S343" i="7"/>
  <c r="Q343" i="7"/>
  <c r="Q349" i="8"/>
  <c r="S349" i="8"/>
  <c r="U336" i="7"/>
  <c r="U342" i="8"/>
  <c r="G492" i="1"/>
  <c r="A338" i="8"/>
  <c r="A332" i="7"/>
  <c r="E324" i="7"/>
  <c r="D331" i="8"/>
  <c r="F330" i="8"/>
  <c r="C325" i="7"/>
  <c r="AD524" i="1"/>
  <c r="AB524" i="1" s="1"/>
  <c r="U288" i="8"/>
  <c r="U282" i="7"/>
  <c r="L286" i="8"/>
  <c r="K280" i="7"/>
  <c r="U230" i="8"/>
  <c r="U224" i="7"/>
  <c r="CR510" i="1"/>
  <c r="Q510" i="1" s="1"/>
  <c r="G410" i="1"/>
  <c r="A176" i="7"/>
  <c r="A182" i="8"/>
  <c r="R415" i="1"/>
  <c r="GK415" i="1" s="1"/>
  <c r="V148" i="8"/>
  <c r="V142" i="7"/>
  <c r="Q412" i="1"/>
  <c r="P122" i="1"/>
  <c r="K111" i="7"/>
  <c r="L117" i="8"/>
  <c r="U104" i="8"/>
  <c r="U98" i="7"/>
  <c r="P35" i="1"/>
  <c r="U37" i="7"/>
  <c r="U43" i="8"/>
  <c r="CB673" i="1"/>
  <c r="CB651" i="1" s="1"/>
  <c r="T664" i="1"/>
  <c r="V480" i="8"/>
  <c r="V474" i="7"/>
  <c r="V456" i="8"/>
  <c r="V450" i="7"/>
  <c r="R657" i="1"/>
  <c r="GK657" i="1" s="1"/>
  <c r="GX653" i="1"/>
  <c r="CJ673" i="1" s="1"/>
  <c r="Q389" i="7"/>
  <c r="S395" i="8"/>
  <c r="Q395" i="8"/>
  <c r="S389" i="7"/>
  <c r="AD570" i="1"/>
  <c r="U349" i="8"/>
  <c r="U343" i="7"/>
  <c r="K272" i="7"/>
  <c r="L278" i="8"/>
  <c r="P510" i="1"/>
  <c r="P412" i="1"/>
  <c r="G26" i="1"/>
  <c r="A123" i="8"/>
  <c r="A117" i="7"/>
  <c r="S233" i="1"/>
  <c r="W122" i="1"/>
  <c r="AD120" i="1"/>
  <c r="AB120" i="1" s="1"/>
  <c r="D95" i="8"/>
  <c r="C89" i="7"/>
  <c r="E88" i="7"/>
  <c r="F94" i="8"/>
  <c r="AD34" i="1"/>
  <c r="AB34" i="1" s="1"/>
  <c r="AD33" i="1"/>
  <c r="AB33" i="1" s="1"/>
  <c r="DI23" i="3"/>
  <c r="DH23" i="3"/>
  <c r="G22" i="1"/>
  <c r="A541" i="8"/>
  <c r="A535" i="7"/>
  <c r="GX671" i="1"/>
  <c r="S664" i="1"/>
  <c r="CY664" i="1" s="1"/>
  <c r="X664" i="1" s="1"/>
  <c r="BY673" i="1"/>
  <c r="AP673" i="1" s="1"/>
  <c r="W658" i="1"/>
  <c r="Q657" i="1"/>
  <c r="CZ656" i="1"/>
  <c r="Y656" i="1" s="1"/>
  <c r="CT525" i="1"/>
  <c r="S525" i="1" s="1"/>
  <c r="CP525" i="1" s="1"/>
  <c r="O525" i="1" s="1"/>
  <c r="S288" i="7"/>
  <c r="Q288" i="7"/>
  <c r="S294" i="8"/>
  <c r="Q294" i="8"/>
  <c r="S280" i="8"/>
  <c r="S274" i="7"/>
  <c r="Q274" i="7"/>
  <c r="Q280" i="8"/>
  <c r="CT522" i="1"/>
  <c r="S522" i="1" s="1"/>
  <c r="CT512" i="1"/>
  <c r="S512" i="1" s="1"/>
  <c r="S238" i="8"/>
  <c r="S232" i="7"/>
  <c r="Q232" i="7"/>
  <c r="Q238" i="8"/>
  <c r="CP495" i="1"/>
  <c r="O495" i="1" s="1"/>
  <c r="W412" i="1"/>
  <c r="R233" i="1"/>
  <c r="GK233" i="1" s="1"/>
  <c r="CJ231" i="1"/>
  <c r="AE156" i="1"/>
  <c r="R162" i="1"/>
  <c r="R156" i="1" s="1"/>
  <c r="CT121" i="1"/>
  <c r="S121" i="1" s="1"/>
  <c r="Q105" i="7"/>
  <c r="S111" i="8"/>
  <c r="Q111" i="8"/>
  <c r="S105" i="7"/>
  <c r="W117" i="1"/>
  <c r="AJ124" i="1" s="1"/>
  <c r="W113" i="1"/>
  <c r="Q37" i="1"/>
  <c r="CQ33" i="1"/>
  <c r="P33" i="1" s="1"/>
  <c r="CP33" i="1" s="1"/>
  <c r="O33" i="1" s="1"/>
  <c r="GM33" i="1" s="1"/>
  <c r="GP33" i="1" s="1"/>
  <c r="CT341" i="1"/>
  <c r="S341" i="1" s="1"/>
  <c r="CY341" i="1" s="1"/>
  <c r="X341" i="1" s="1"/>
  <c r="Q123" i="7"/>
  <c r="S129" i="8"/>
  <c r="Q129" i="8"/>
  <c r="S123" i="7"/>
  <c r="V233" i="1"/>
  <c r="S122" i="1"/>
  <c r="Q669" i="1"/>
  <c r="T663" i="1"/>
  <c r="C367" i="7"/>
  <c r="E366" i="7"/>
  <c r="F372" i="8"/>
  <c r="D373" i="8"/>
  <c r="D302" i="8"/>
  <c r="C296" i="7"/>
  <c r="F301" i="8"/>
  <c r="E295" i="7"/>
  <c r="GX518" i="1"/>
  <c r="U240" i="7"/>
  <c r="U246" i="8"/>
  <c r="AB121" i="1"/>
  <c r="S113" i="1"/>
  <c r="P671" i="1"/>
  <c r="Q480" i="8"/>
  <c r="S474" i="7"/>
  <c r="S480" i="8"/>
  <c r="Q474" i="7"/>
  <c r="R507" i="1"/>
  <c r="GK507" i="1" s="1"/>
  <c r="V223" i="8"/>
  <c r="V217" i="7"/>
  <c r="BC199" i="1"/>
  <c r="F215" i="1" s="1"/>
  <c r="CL194" i="1"/>
  <c r="R113" i="1"/>
  <c r="GK113" i="1" s="1"/>
  <c r="CJ39" i="1"/>
  <c r="BA39" i="1" s="1"/>
  <c r="AB32" i="1"/>
  <c r="U342" i="1"/>
  <c r="K114" i="8"/>
  <c r="J108" i="7"/>
  <c r="CP511" i="1"/>
  <c r="O511" i="1" s="1"/>
  <c r="GM511" i="1" s="1"/>
  <c r="GP511" i="1" s="1"/>
  <c r="DF133" i="3"/>
  <c r="DJ133" i="3" s="1"/>
  <c r="DG133" i="3"/>
  <c r="G488" i="1"/>
  <c r="A538" i="8"/>
  <c r="A532" i="7"/>
  <c r="CT614" i="1"/>
  <c r="S614" i="1" s="1"/>
  <c r="Q406" i="8"/>
  <c r="S406" i="8"/>
  <c r="Q400" i="7"/>
  <c r="S400" i="7"/>
  <c r="AB416" i="1"/>
  <c r="S342" i="1"/>
  <c r="W669" i="1"/>
  <c r="U653" i="1"/>
  <c r="L419" i="8"/>
  <c r="K413" i="7"/>
  <c r="U400" i="7"/>
  <c r="U406" i="8"/>
  <c r="CT506" i="1"/>
  <c r="S506" i="1" s="1"/>
  <c r="S210" i="7"/>
  <c r="Q210" i="7"/>
  <c r="Q216" i="8"/>
  <c r="S216" i="8"/>
  <c r="F198" i="8"/>
  <c r="E192" i="7"/>
  <c r="D199" i="8"/>
  <c r="C193" i="7"/>
  <c r="AB495" i="1"/>
  <c r="U148" i="8"/>
  <c r="U142" i="7"/>
  <c r="AD415" i="1"/>
  <c r="AB415" i="1" s="1"/>
  <c r="T117" i="1"/>
  <c r="AG124" i="1" s="1"/>
  <c r="AD113" i="1"/>
  <c r="AB113" i="1" s="1"/>
  <c r="U112" i="1"/>
  <c r="CC39" i="1"/>
  <c r="E37" i="7"/>
  <c r="D44" i="8"/>
  <c r="F43" i="8"/>
  <c r="C38" i="7"/>
  <c r="F227" i="1"/>
  <c r="AR194" i="1"/>
  <c r="O162" i="1"/>
  <c r="AB156" i="1"/>
  <c r="V115" i="1"/>
  <c r="L478" i="8"/>
  <c r="K472" i="7"/>
  <c r="AO273" i="1"/>
  <c r="U233" i="1"/>
  <c r="U115" i="1"/>
  <c r="L48" i="8"/>
  <c r="K42" i="7"/>
  <c r="V653" i="1"/>
  <c r="CJ619" i="1"/>
  <c r="CJ609" i="1" s="1"/>
  <c r="F238" i="8"/>
  <c r="C233" i="7"/>
  <c r="E232" i="7"/>
  <c r="D239" i="8"/>
  <c r="S148" i="8"/>
  <c r="Q148" i="8"/>
  <c r="S142" i="7"/>
  <c r="Q142" i="7"/>
  <c r="P341" i="1"/>
  <c r="T233" i="1"/>
  <c r="W671" i="1"/>
  <c r="AD663" i="1"/>
  <c r="U474" i="7"/>
  <c r="U480" i="8"/>
  <c r="W654" i="1"/>
  <c r="W613" i="1"/>
  <c r="W611" i="1"/>
  <c r="AJ619" i="1" s="1"/>
  <c r="F395" i="8"/>
  <c r="D396" i="8"/>
  <c r="C390" i="7"/>
  <c r="E389" i="7"/>
  <c r="V671" i="1"/>
  <c r="V669" i="1"/>
  <c r="S482" i="7"/>
  <c r="Q482" i="7"/>
  <c r="S488" i="8"/>
  <c r="Q488" i="8"/>
  <c r="CS659" i="1"/>
  <c r="R659" i="1" s="1"/>
  <c r="GK659" i="1" s="1"/>
  <c r="U464" i="8"/>
  <c r="U458" i="7"/>
  <c r="AD657" i="1"/>
  <c r="AB657" i="1" s="1"/>
  <c r="U450" i="7"/>
  <c r="U456" i="8"/>
  <c r="V654" i="1"/>
  <c r="E274" i="7"/>
  <c r="D281" i="8"/>
  <c r="F280" i="8"/>
  <c r="C275" i="7"/>
  <c r="S246" i="7"/>
  <c r="Q246" i="7"/>
  <c r="S252" i="8"/>
  <c r="Q252" i="8"/>
  <c r="CT515" i="1"/>
  <c r="S515" i="1" s="1"/>
  <c r="U210" i="7"/>
  <c r="U216" i="8"/>
  <c r="G406" i="1"/>
  <c r="A179" i="7"/>
  <c r="A185" i="8"/>
  <c r="BC124" i="1"/>
  <c r="BC110" i="1" s="1"/>
  <c r="E105" i="7"/>
  <c r="D112" i="8"/>
  <c r="F111" i="8"/>
  <c r="C106" i="7"/>
  <c r="V118" i="1"/>
  <c r="AI124" i="1" s="1"/>
  <c r="CT117" i="1"/>
  <c r="S117" i="1" s="1"/>
  <c r="S72" i="8"/>
  <c r="Q72" i="8"/>
  <c r="S66" i="7"/>
  <c r="Q66" i="7"/>
  <c r="CR115" i="1"/>
  <c r="Q115" i="1" s="1"/>
  <c r="CP115" i="1" s="1"/>
  <c r="O115" i="1" s="1"/>
  <c r="GM115" i="1" s="1"/>
  <c r="GP115" i="1" s="1"/>
  <c r="CS115" i="1"/>
  <c r="R115" i="1" s="1"/>
  <c r="GK115" i="1" s="1"/>
  <c r="W73" i="1"/>
  <c r="CB39" i="1"/>
  <c r="AD669" i="1"/>
  <c r="AB669" i="1" s="1"/>
  <c r="U511" i="8"/>
  <c r="U505" i="7"/>
  <c r="CR668" i="1"/>
  <c r="Q668" i="1" s="1"/>
  <c r="CP668" i="1" s="1"/>
  <c r="O668" i="1" s="1"/>
  <c r="U498" i="7"/>
  <c r="U504" i="8"/>
  <c r="CT666" i="1"/>
  <c r="S666" i="1" s="1"/>
  <c r="Q496" i="8"/>
  <c r="S490" i="7"/>
  <c r="Q490" i="7"/>
  <c r="S496" i="8"/>
  <c r="AB662" i="1"/>
  <c r="S464" i="8"/>
  <c r="S458" i="7"/>
  <c r="Q458" i="7"/>
  <c r="Q464" i="8"/>
  <c r="S456" i="8"/>
  <c r="S450" i="7"/>
  <c r="Q450" i="7"/>
  <c r="Q456" i="8"/>
  <c r="U613" i="1"/>
  <c r="U395" i="8"/>
  <c r="U389" i="7"/>
  <c r="J378" i="7"/>
  <c r="K384" i="8"/>
  <c r="AB574" i="1"/>
  <c r="AD573" i="1"/>
  <c r="U366" i="7"/>
  <c r="U372" i="8"/>
  <c r="U351" i="7"/>
  <c r="U357" i="8"/>
  <c r="K224" i="8"/>
  <c r="J218" i="7"/>
  <c r="K215" i="7"/>
  <c r="L221" i="8"/>
  <c r="T342" i="1"/>
  <c r="U129" i="8"/>
  <c r="U123" i="7"/>
  <c r="CR158" i="1"/>
  <c r="Q158" i="1" s="1"/>
  <c r="CP158" i="1" s="1"/>
  <c r="O158" i="1" s="1"/>
  <c r="A120" i="8"/>
  <c r="A114" i="7"/>
  <c r="BZ124" i="1"/>
  <c r="GX33" i="1"/>
  <c r="DH125" i="3"/>
  <c r="T160" i="1"/>
  <c r="W121" i="1"/>
  <c r="GX665" i="1"/>
  <c r="T654" i="1"/>
  <c r="CT615" i="1"/>
  <c r="S615" i="1" s="1"/>
  <c r="S414" i="8"/>
  <c r="Q414" i="8"/>
  <c r="S408" i="7"/>
  <c r="Q408" i="7"/>
  <c r="AD527" i="1"/>
  <c r="AB527" i="1" s="1"/>
  <c r="U295" i="7"/>
  <c r="U301" i="8"/>
  <c r="BY535" i="1"/>
  <c r="AP535" i="1" s="1"/>
  <c r="CT36" i="1"/>
  <c r="S36" i="1" s="1"/>
  <c r="S51" i="7"/>
  <c r="Q51" i="7"/>
  <c r="S57" i="8"/>
  <c r="Q57" i="8"/>
  <c r="W75" i="1"/>
  <c r="U37" i="1"/>
  <c r="U57" i="8"/>
  <c r="U51" i="7"/>
  <c r="S44" i="7"/>
  <c r="S50" i="8"/>
  <c r="Q50" i="8"/>
  <c r="Q44" i="7"/>
  <c r="S159" i="1"/>
  <c r="GX112" i="1"/>
  <c r="W37" i="1"/>
  <c r="GX668" i="1"/>
  <c r="GX663" i="1"/>
  <c r="F472" i="8"/>
  <c r="C467" i="7"/>
  <c r="E466" i="7"/>
  <c r="D473" i="8"/>
  <c r="U442" i="7"/>
  <c r="U448" i="8"/>
  <c r="GX573" i="1"/>
  <c r="CJ577" i="1" s="1"/>
  <c r="C317" i="7"/>
  <c r="D323" i="8"/>
  <c r="E316" i="7"/>
  <c r="F322" i="8"/>
  <c r="CT529" i="1"/>
  <c r="S529" i="1" s="1"/>
  <c r="Q309" i="8"/>
  <c r="Q303" i="7"/>
  <c r="S309" i="8"/>
  <c r="S303" i="7"/>
  <c r="L292" i="8"/>
  <c r="K286" i="7"/>
  <c r="V37" i="1"/>
  <c r="CC673" i="1"/>
  <c r="CC651" i="1" s="1"/>
  <c r="V660" i="1"/>
  <c r="GX656" i="1"/>
  <c r="AD655" i="1"/>
  <c r="AB655" i="1" s="1"/>
  <c r="U414" i="8"/>
  <c r="U408" i="7"/>
  <c r="S309" i="7"/>
  <c r="Q315" i="8"/>
  <c r="S315" i="8"/>
  <c r="Q309" i="7"/>
  <c r="AD529" i="1"/>
  <c r="U309" i="8"/>
  <c r="U303" i="7"/>
  <c r="V523" i="1"/>
  <c r="V512" i="1"/>
  <c r="Q217" i="7"/>
  <c r="S217" i="7"/>
  <c r="Q223" i="8"/>
  <c r="S223" i="8"/>
  <c r="W500" i="1"/>
  <c r="BZ426" i="1"/>
  <c r="P655" i="1"/>
  <c r="T653" i="1"/>
  <c r="D407" i="8"/>
  <c r="F406" i="8"/>
  <c r="E400" i="7"/>
  <c r="C401" i="7"/>
  <c r="E343" i="7"/>
  <c r="D350" i="8"/>
  <c r="F349" i="8"/>
  <c r="C344" i="7"/>
  <c r="AD530" i="1"/>
  <c r="AB530" i="1" s="1"/>
  <c r="U309" i="7"/>
  <c r="U315" i="8"/>
  <c r="Q282" i="7"/>
  <c r="S288" i="8"/>
  <c r="Q288" i="8"/>
  <c r="S282" i="7"/>
  <c r="V513" i="1"/>
  <c r="W510" i="1"/>
  <c r="AD507" i="1"/>
  <c r="U217" i="7"/>
  <c r="U223" i="8"/>
  <c r="V500" i="1"/>
  <c r="GX341" i="1"/>
  <c r="CJ344" i="1" s="1"/>
  <c r="BA344" i="1" s="1"/>
  <c r="CM231" i="1"/>
  <c r="P160" i="1"/>
  <c r="W118" i="1"/>
  <c r="U117" i="1"/>
  <c r="AH124" i="1" s="1"/>
  <c r="V75" i="1"/>
  <c r="T37" i="1"/>
  <c r="AD35" i="1"/>
  <c r="AB35" i="1" s="1"/>
  <c r="U44" i="7"/>
  <c r="U50" i="8"/>
  <c r="CM30" i="1"/>
  <c r="AG567" i="1"/>
  <c r="T577" i="1"/>
  <c r="CY660" i="1"/>
  <c r="X660" i="1" s="1"/>
  <c r="CZ660" i="1"/>
  <c r="Y660" i="1" s="1"/>
  <c r="AS673" i="1"/>
  <c r="CS671" i="1"/>
  <c r="CR671" i="1"/>
  <c r="Q671" i="1" s="1"/>
  <c r="CP671" i="1" s="1"/>
  <c r="O671" i="1" s="1"/>
  <c r="AD671" i="1"/>
  <c r="AB671" i="1" s="1"/>
  <c r="CZ670" i="1"/>
  <c r="Y670" i="1" s="1"/>
  <c r="CZ662" i="1"/>
  <c r="Y662" i="1" s="1"/>
  <c r="T659" i="1"/>
  <c r="CS615" i="1"/>
  <c r="CR615" i="1"/>
  <c r="Q615" i="1" s="1"/>
  <c r="AD615" i="1"/>
  <c r="AB615" i="1" s="1"/>
  <c r="CY611" i="1"/>
  <c r="X611" i="1" s="1"/>
  <c r="CZ611" i="1"/>
  <c r="Y611" i="1" s="1"/>
  <c r="V577" i="1"/>
  <c r="AI567" i="1"/>
  <c r="AG535" i="1"/>
  <c r="BY609" i="1"/>
  <c r="AP619" i="1"/>
  <c r="CI619" i="1"/>
  <c r="CX1" i="3"/>
  <c r="CV1" i="3"/>
  <c r="BB651" i="1"/>
  <c r="F686" i="1"/>
  <c r="GX659" i="1"/>
  <c r="P659" i="1"/>
  <c r="U666" i="1"/>
  <c r="CY570" i="1"/>
  <c r="X570" i="1" s="1"/>
  <c r="CZ570" i="1"/>
  <c r="Y570" i="1" s="1"/>
  <c r="CK492" i="1"/>
  <c r="BB535" i="1"/>
  <c r="CP531" i="1"/>
  <c r="O531" i="1" s="1"/>
  <c r="GM531" i="1" s="1"/>
  <c r="GP531" i="1" s="1"/>
  <c r="CI673" i="1"/>
  <c r="AB663" i="1"/>
  <c r="CQ663" i="1"/>
  <c r="P663" i="1" s="1"/>
  <c r="F602" i="1"/>
  <c r="CR571" i="1"/>
  <c r="Q571" i="1" s="1"/>
  <c r="CP571" i="1" s="1"/>
  <c r="O571" i="1" s="1"/>
  <c r="CS571" i="1"/>
  <c r="CY532" i="1"/>
  <c r="X532" i="1" s="1"/>
  <c r="CZ532" i="1"/>
  <c r="Y532" i="1" s="1"/>
  <c r="CU143" i="3"/>
  <c r="CV143" i="3"/>
  <c r="W665" i="1"/>
  <c r="CQ662" i="1"/>
  <c r="P662" i="1" s="1"/>
  <c r="CP662" i="1" s="1"/>
  <c r="O662" i="1" s="1"/>
  <c r="GM662" i="1" s="1"/>
  <c r="GP662" i="1" s="1"/>
  <c r="P613" i="1"/>
  <c r="CP613" i="1" s="1"/>
  <c r="O613" i="1" s="1"/>
  <c r="GX612" i="1"/>
  <c r="S612" i="1"/>
  <c r="P612" i="1"/>
  <c r="CY574" i="1"/>
  <c r="X574" i="1" s="1"/>
  <c r="CZ574" i="1"/>
  <c r="Y574" i="1" s="1"/>
  <c r="AD571" i="1"/>
  <c r="AB571" i="1" s="1"/>
  <c r="CG673" i="1"/>
  <c r="AO673" i="1"/>
  <c r="AO703" i="1" s="1"/>
  <c r="AH619" i="1"/>
  <c r="CY667" i="1"/>
  <c r="X667" i="1" s="1"/>
  <c r="CZ667" i="1"/>
  <c r="Y667" i="1" s="1"/>
  <c r="AB616" i="1"/>
  <c r="CQ616" i="1"/>
  <c r="P616" i="1" s="1"/>
  <c r="T670" i="1"/>
  <c r="GX666" i="1"/>
  <c r="V659" i="1"/>
  <c r="CQ617" i="1"/>
  <c r="P617" i="1" s="1"/>
  <c r="CZ509" i="1"/>
  <c r="Y509" i="1" s="1"/>
  <c r="CY509" i="1"/>
  <c r="X509" i="1" s="1"/>
  <c r="AI619" i="1"/>
  <c r="CY665" i="1"/>
  <c r="X665" i="1" s="1"/>
  <c r="CZ665" i="1"/>
  <c r="Y665" i="1" s="1"/>
  <c r="CP611" i="1"/>
  <c r="O611" i="1" s="1"/>
  <c r="Q666" i="1"/>
  <c r="BY651" i="1"/>
  <c r="CY573" i="1"/>
  <c r="X573" i="1" s="1"/>
  <c r="CZ573" i="1"/>
  <c r="Y573" i="1" s="1"/>
  <c r="CM651" i="1"/>
  <c r="BD673" i="1"/>
  <c r="CX147" i="3"/>
  <c r="CX146" i="3"/>
  <c r="CU144" i="3"/>
  <c r="W666" i="1"/>
  <c r="U665" i="1"/>
  <c r="CR661" i="1"/>
  <c r="Q661" i="1" s="1"/>
  <c r="CS661" i="1"/>
  <c r="AD661" i="1"/>
  <c r="AB661" i="1" s="1"/>
  <c r="CZ658" i="1"/>
  <c r="Y658" i="1" s="1"/>
  <c r="CZ614" i="1"/>
  <c r="Y614" i="1" s="1"/>
  <c r="CY614" i="1"/>
  <c r="X614" i="1" s="1"/>
  <c r="CP570" i="1"/>
  <c r="O570" i="1" s="1"/>
  <c r="CP532" i="1"/>
  <c r="O532" i="1" s="1"/>
  <c r="CP526" i="1"/>
  <c r="O526" i="1" s="1"/>
  <c r="CZ504" i="1"/>
  <c r="Y504" i="1" s="1"/>
  <c r="CY504" i="1"/>
  <c r="X504" i="1" s="1"/>
  <c r="CP670" i="1"/>
  <c r="O670" i="1" s="1"/>
  <c r="BC651" i="1"/>
  <c r="F689" i="1"/>
  <c r="AB668" i="1"/>
  <c r="CR617" i="1"/>
  <c r="Q617" i="1" s="1"/>
  <c r="CS617" i="1"/>
  <c r="AD617" i="1"/>
  <c r="AB617" i="1" s="1"/>
  <c r="F635" i="1"/>
  <c r="BC609" i="1"/>
  <c r="T665" i="1"/>
  <c r="CP664" i="1"/>
  <c r="O664" i="1" s="1"/>
  <c r="CQ661" i="1"/>
  <c r="P661" i="1" s="1"/>
  <c r="CP657" i="1"/>
  <c r="O657" i="1" s="1"/>
  <c r="CR656" i="1"/>
  <c r="Q656" i="1" s="1"/>
  <c r="CS656" i="1"/>
  <c r="R656" i="1" s="1"/>
  <c r="GK656" i="1" s="1"/>
  <c r="CS614" i="1"/>
  <c r="AD614" i="1"/>
  <c r="AB614" i="1" s="1"/>
  <c r="CR614" i="1"/>
  <c r="Q614" i="1" s="1"/>
  <c r="V613" i="1"/>
  <c r="BD609" i="1"/>
  <c r="CR500" i="1"/>
  <c r="Q500" i="1" s="1"/>
  <c r="CP500" i="1" s="1"/>
  <c r="O500" i="1" s="1"/>
  <c r="CS500" i="1"/>
  <c r="R500" i="1" s="1"/>
  <c r="GK500" i="1" s="1"/>
  <c r="AD500" i="1"/>
  <c r="AB500" i="1" s="1"/>
  <c r="CQ614" i="1"/>
  <c r="P614" i="1" s="1"/>
  <c r="CR670" i="1"/>
  <c r="Q670" i="1" s="1"/>
  <c r="CS670" i="1"/>
  <c r="CP669" i="1"/>
  <c r="O669" i="1" s="1"/>
  <c r="CR665" i="1"/>
  <c r="Q665" i="1" s="1"/>
  <c r="CP665" i="1" s="1"/>
  <c r="O665" i="1" s="1"/>
  <c r="CS665" i="1"/>
  <c r="R665" i="1" s="1"/>
  <c r="GK665" i="1" s="1"/>
  <c r="AD665" i="1"/>
  <c r="AB665" i="1" s="1"/>
  <c r="CP660" i="1"/>
  <c r="O660" i="1" s="1"/>
  <c r="GM660" i="1" s="1"/>
  <c r="GP660" i="1" s="1"/>
  <c r="S659" i="1"/>
  <c r="AF619" i="1"/>
  <c r="CZ617" i="1"/>
  <c r="Y617" i="1" s="1"/>
  <c r="GM507" i="1"/>
  <c r="GP507" i="1" s="1"/>
  <c r="AD670" i="1"/>
  <c r="AB670" i="1" s="1"/>
  <c r="CY669" i="1"/>
  <c r="X669" i="1" s="1"/>
  <c r="CZ669" i="1"/>
  <c r="Y669" i="1" s="1"/>
  <c r="S613" i="1"/>
  <c r="CZ530" i="1"/>
  <c r="Y530" i="1" s="1"/>
  <c r="CY415" i="1"/>
  <c r="X415" i="1" s="1"/>
  <c r="CZ415" i="1"/>
  <c r="Y415" i="1" s="1"/>
  <c r="CP415" i="1"/>
  <c r="O415" i="1" s="1"/>
  <c r="AC124" i="1"/>
  <c r="U659" i="1"/>
  <c r="CB577" i="1"/>
  <c r="CY654" i="1"/>
  <c r="X654" i="1" s="1"/>
  <c r="GM654" i="1" s="1"/>
  <c r="GP654" i="1" s="1"/>
  <c r="CZ654" i="1"/>
  <c r="Y654" i="1" s="1"/>
  <c r="W653" i="1"/>
  <c r="CP573" i="1"/>
  <c r="O573" i="1" s="1"/>
  <c r="CM492" i="1"/>
  <c r="BD535" i="1"/>
  <c r="CY505" i="1"/>
  <c r="X505" i="1" s="1"/>
  <c r="CZ505" i="1"/>
  <c r="Y505" i="1" s="1"/>
  <c r="S499" i="1"/>
  <c r="V499" i="1"/>
  <c r="GX499" i="1"/>
  <c r="AB656" i="1"/>
  <c r="CQ656" i="1"/>
  <c r="P656" i="1" s="1"/>
  <c r="BB619" i="1"/>
  <c r="CC619" i="1"/>
  <c r="Q611" i="1"/>
  <c r="CR572" i="1"/>
  <c r="Q572" i="1" s="1"/>
  <c r="CS572" i="1"/>
  <c r="CL492" i="1"/>
  <c r="BC535" i="1"/>
  <c r="CY526" i="1"/>
  <c r="X526" i="1" s="1"/>
  <c r="CZ526" i="1"/>
  <c r="Y526" i="1" s="1"/>
  <c r="CU53" i="3"/>
  <c r="CV53" i="3"/>
  <c r="CX55" i="3"/>
  <c r="CX53" i="3"/>
  <c r="S510" i="1"/>
  <c r="GX510" i="1"/>
  <c r="DF35" i="3"/>
  <c r="DJ35" i="3" s="1"/>
  <c r="DG35" i="3"/>
  <c r="DH35" i="3"/>
  <c r="DI35" i="3"/>
  <c r="T658" i="1"/>
  <c r="AB572" i="1"/>
  <c r="CQ572" i="1"/>
  <c r="P572" i="1" s="1"/>
  <c r="AH577" i="1"/>
  <c r="CY529" i="1"/>
  <c r="X529" i="1" s="1"/>
  <c r="CZ529" i="1"/>
  <c r="Y529" i="1" s="1"/>
  <c r="CY528" i="1"/>
  <c r="X528" i="1" s="1"/>
  <c r="CZ528" i="1"/>
  <c r="Y528" i="1" s="1"/>
  <c r="CS506" i="1"/>
  <c r="AD506" i="1"/>
  <c r="AB506" i="1" s="1"/>
  <c r="CR506" i="1"/>
  <c r="Q506" i="1" s="1"/>
  <c r="CP504" i="1"/>
  <c r="O504" i="1" s="1"/>
  <c r="CY500" i="1"/>
  <c r="X500" i="1" s="1"/>
  <c r="CZ500" i="1"/>
  <c r="Y500" i="1" s="1"/>
  <c r="CR341" i="1"/>
  <c r="Q341" i="1" s="1"/>
  <c r="CS341" i="1"/>
  <c r="AD341" i="1"/>
  <c r="AB341" i="1" s="1"/>
  <c r="DF57" i="3"/>
  <c r="DG57" i="3"/>
  <c r="DJ57" i="3" s="1"/>
  <c r="DH57" i="3"/>
  <c r="DI57" i="3"/>
  <c r="F362" i="1"/>
  <c r="AT374" i="1"/>
  <c r="AT339" i="1"/>
  <c r="CR612" i="1"/>
  <c r="Q612" i="1" s="1"/>
  <c r="CS612" i="1"/>
  <c r="R612" i="1" s="1"/>
  <c r="GK612" i="1" s="1"/>
  <c r="CQ494" i="1"/>
  <c r="P494" i="1" s="1"/>
  <c r="CS516" i="1"/>
  <c r="R516" i="1" s="1"/>
  <c r="GK516" i="1" s="1"/>
  <c r="AD516" i="1"/>
  <c r="AB516" i="1" s="1"/>
  <c r="CR516" i="1"/>
  <c r="Q516" i="1" s="1"/>
  <c r="CY494" i="1"/>
  <c r="X494" i="1" s="1"/>
  <c r="CZ494" i="1"/>
  <c r="Y494" i="1" s="1"/>
  <c r="CY414" i="1"/>
  <c r="X414" i="1" s="1"/>
  <c r="CZ414" i="1"/>
  <c r="Y414" i="1" s="1"/>
  <c r="AS344" i="1"/>
  <c r="CB339" i="1"/>
  <c r="W344" i="1"/>
  <c r="AJ339" i="1"/>
  <c r="CK156" i="1"/>
  <c r="BB162" i="1"/>
  <c r="AG156" i="1"/>
  <c r="T162" i="1"/>
  <c r="GX658" i="1"/>
  <c r="CB619" i="1"/>
  <c r="CZ515" i="1"/>
  <c r="Y515" i="1" s="1"/>
  <c r="CY515" i="1"/>
  <c r="X515" i="1" s="1"/>
  <c r="CS505" i="1"/>
  <c r="R505" i="1" s="1"/>
  <c r="GK505" i="1" s="1"/>
  <c r="AD505" i="1"/>
  <c r="AB505" i="1" s="1"/>
  <c r="CR505" i="1"/>
  <c r="Q505" i="1" s="1"/>
  <c r="CP505" i="1" s="1"/>
  <c r="O505" i="1" s="1"/>
  <c r="GM505" i="1" s="1"/>
  <c r="GP505" i="1" s="1"/>
  <c r="CS668" i="1"/>
  <c r="CS666" i="1"/>
  <c r="CZ615" i="1"/>
  <c r="Y615" i="1" s="1"/>
  <c r="V614" i="1"/>
  <c r="CQ516" i="1"/>
  <c r="P516" i="1" s="1"/>
  <c r="V510" i="1"/>
  <c r="CY507" i="1"/>
  <c r="X507" i="1" s="1"/>
  <c r="CZ507" i="1"/>
  <c r="Y507" i="1" s="1"/>
  <c r="CY495" i="1"/>
  <c r="X495" i="1" s="1"/>
  <c r="CZ495" i="1"/>
  <c r="Y495" i="1" s="1"/>
  <c r="AG410" i="1"/>
  <c r="T426" i="1"/>
  <c r="AS267" i="1"/>
  <c r="F290" i="1"/>
  <c r="Y267" i="1"/>
  <c r="F300" i="1"/>
  <c r="AD653" i="1"/>
  <c r="AB653" i="1" s="1"/>
  <c r="CR653" i="1"/>
  <c r="Q653" i="1" s="1"/>
  <c r="CP653" i="1" s="1"/>
  <c r="O653" i="1" s="1"/>
  <c r="CS653" i="1"/>
  <c r="AB573" i="1"/>
  <c r="F623" i="1"/>
  <c r="AO609" i="1"/>
  <c r="CR528" i="1"/>
  <c r="Q528" i="1" s="1"/>
  <c r="CS528" i="1"/>
  <c r="R528" i="1" s="1"/>
  <c r="GK528" i="1" s="1"/>
  <c r="CZ502" i="1"/>
  <c r="Y502" i="1" s="1"/>
  <c r="CY502" i="1"/>
  <c r="X502" i="1" s="1"/>
  <c r="AQ344" i="1"/>
  <c r="CG344" i="1"/>
  <c r="BZ339" i="1"/>
  <c r="CL267" i="1"/>
  <c r="BC273" i="1"/>
  <c r="AR267" i="1"/>
  <c r="F301" i="1"/>
  <c r="X267" i="1"/>
  <c r="F299" i="1"/>
  <c r="R235" i="1"/>
  <c r="AE231" i="1"/>
  <c r="F590" i="1"/>
  <c r="CQ666" i="1"/>
  <c r="P666" i="1" s="1"/>
  <c r="AD659" i="1"/>
  <c r="AB659" i="1" s="1"/>
  <c r="CR658" i="1"/>
  <c r="Q658" i="1" s="1"/>
  <c r="CS658" i="1"/>
  <c r="R658" i="1" s="1"/>
  <c r="GK658" i="1" s="1"/>
  <c r="W656" i="1"/>
  <c r="AB611" i="1"/>
  <c r="AD528" i="1"/>
  <c r="AB528" i="1" s="1"/>
  <c r="CR520" i="1"/>
  <c r="Q520" i="1" s="1"/>
  <c r="CS520" i="1"/>
  <c r="CY524" i="1"/>
  <c r="X524" i="1" s="1"/>
  <c r="CZ524" i="1"/>
  <c r="Y524" i="1" s="1"/>
  <c r="AD612" i="1"/>
  <c r="AB612" i="1" s="1"/>
  <c r="GX661" i="1"/>
  <c r="AD658" i="1"/>
  <c r="AB658" i="1" s="1"/>
  <c r="V656" i="1"/>
  <c r="Q655" i="1"/>
  <c r="CL567" i="1"/>
  <c r="BC577" i="1"/>
  <c r="CZ572" i="1"/>
  <c r="Y572" i="1" s="1"/>
  <c r="CC577" i="1"/>
  <c r="BY577" i="1"/>
  <c r="AO492" i="1"/>
  <c r="F539" i="1"/>
  <c r="AD520" i="1"/>
  <c r="AB520" i="1" s="1"/>
  <c r="CS508" i="1"/>
  <c r="R508" i="1" s="1"/>
  <c r="GK508" i="1" s="1"/>
  <c r="AD508" i="1"/>
  <c r="AB508" i="1" s="1"/>
  <c r="CR508" i="1"/>
  <c r="Q508" i="1" s="1"/>
  <c r="CP508" i="1" s="1"/>
  <c r="O508" i="1" s="1"/>
  <c r="CR420" i="1"/>
  <c r="Q420" i="1" s="1"/>
  <c r="CP420" i="1" s="1"/>
  <c r="O420" i="1" s="1"/>
  <c r="CS420" i="1"/>
  <c r="R420" i="1" s="1"/>
  <c r="GK420" i="1" s="1"/>
  <c r="CQ418" i="1"/>
  <c r="P418" i="1" s="1"/>
  <c r="CZ517" i="1"/>
  <c r="Y517" i="1" s="1"/>
  <c r="CY517" i="1"/>
  <c r="X517" i="1" s="1"/>
  <c r="CQ414" i="1"/>
  <c r="P414" i="1" s="1"/>
  <c r="CP414" i="1" s="1"/>
  <c r="O414" i="1" s="1"/>
  <c r="AB414" i="1"/>
  <c r="AB613" i="1"/>
  <c r="CY575" i="1"/>
  <c r="X575" i="1" s="1"/>
  <c r="CZ575" i="1"/>
  <c r="Y575" i="1" s="1"/>
  <c r="CZ516" i="1"/>
  <c r="Y516" i="1" s="1"/>
  <c r="CY516" i="1"/>
  <c r="X516" i="1" s="1"/>
  <c r="P658" i="1"/>
  <c r="W612" i="1"/>
  <c r="CR575" i="1"/>
  <c r="Q575" i="1" s="1"/>
  <c r="CS575" i="1"/>
  <c r="CU111" i="3"/>
  <c r="CV111" i="3"/>
  <c r="CX111" i="3"/>
  <c r="GX533" i="1"/>
  <c r="CP502" i="1"/>
  <c r="O502" i="1" s="1"/>
  <c r="GM502" i="1" s="1"/>
  <c r="GP502" i="1" s="1"/>
  <c r="CZ498" i="1"/>
  <c r="Y498" i="1" s="1"/>
  <c r="CY498" i="1"/>
  <c r="X498" i="1" s="1"/>
  <c r="AD420" i="1"/>
  <c r="AB420" i="1" s="1"/>
  <c r="W533" i="1"/>
  <c r="CS529" i="1"/>
  <c r="CV99" i="3"/>
  <c r="CX99" i="3"/>
  <c r="CU99" i="3"/>
  <c r="CR501" i="1"/>
  <c r="Q501" i="1" s="1"/>
  <c r="CP501" i="1" s="1"/>
  <c r="O501" i="1" s="1"/>
  <c r="CS501" i="1"/>
  <c r="R501" i="1" s="1"/>
  <c r="GK501" i="1" s="1"/>
  <c r="CR414" i="1"/>
  <c r="Q414" i="1" s="1"/>
  <c r="CS414" i="1"/>
  <c r="R414" i="1" s="1"/>
  <c r="GK414" i="1" s="1"/>
  <c r="AD414" i="1"/>
  <c r="CI235" i="1"/>
  <c r="AP235" i="1"/>
  <c r="BY231" i="1"/>
  <c r="P235" i="1"/>
  <c r="CE235" i="1"/>
  <c r="CF235" i="1"/>
  <c r="AC231" i="1"/>
  <c r="CH235" i="1"/>
  <c r="BZ535" i="1"/>
  <c r="CY421" i="1"/>
  <c r="X421" i="1" s="1"/>
  <c r="T344" i="1"/>
  <c r="CQ233" i="1"/>
  <c r="P233" i="1" s="1"/>
  <c r="AB233" i="1"/>
  <c r="CR533" i="1"/>
  <c r="Q533" i="1" s="1"/>
  <c r="CS533" i="1"/>
  <c r="CP528" i="1"/>
  <c r="O528" i="1" s="1"/>
  <c r="CY521" i="1"/>
  <c r="X521" i="1" s="1"/>
  <c r="CZ521" i="1"/>
  <c r="Y521" i="1" s="1"/>
  <c r="U510" i="1"/>
  <c r="CR509" i="1"/>
  <c r="Q509" i="1" s="1"/>
  <c r="CP509" i="1" s="1"/>
  <c r="O509" i="1" s="1"/>
  <c r="CS509" i="1"/>
  <c r="R509" i="1" s="1"/>
  <c r="GK509" i="1" s="1"/>
  <c r="AD509" i="1"/>
  <c r="AB509" i="1" s="1"/>
  <c r="CS423" i="1"/>
  <c r="AD423" i="1"/>
  <c r="CR423" i="1"/>
  <c r="Q423" i="1" s="1"/>
  <c r="CP423" i="1" s="1"/>
  <c r="O423" i="1" s="1"/>
  <c r="BC231" i="1"/>
  <c r="F251" i="1"/>
  <c r="AB575" i="1"/>
  <c r="AB570" i="1"/>
  <c r="AD533" i="1"/>
  <c r="AB533" i="1" s="1"/>
  <c r="AB529" i="1"/>
  <c r="CR514" i="1"/>
  <c r="Q514" i="1" s="1"/>
  <c r="CS514" i="1"/>
  <c r="T510" i="1"/>
  <c r="CY270" i="1"/>
  <c r="X270" i="1" s="1"/>
  <c r="CZ270" i="1"/>
  <c r="Y270" i="1" s="1"/>
  <c r="CV63" i="3"/>
  <c r="CX63" i="3"/>
  <c r="CR569" i="1"/>
  <c r="Q569" i="1" s="1"/>
  <c r="CP569" i="1" s="1"/>
  <c r="O569" i="1" s="1"/>
  <c r="CS569" i="1"/>
  <c r="P533" i="1"/>
  <c r="AB521" i="1"/>
  <c r="AD514" i="1"/>
  <c r="AB514" i="1" s="1"/>
  <c r="CU60" i="3"/>
  <c r="CV60" i="3"/>
  <c r="CX60" i="3"/>
  <c r="U512" i="1"/>
  <c r="CR342" i="1"/>
  <c r="Q342" i="1" s="1"/>
  <c r="CS342" i="1"/>
  <c r="R342" i="1" s="1"/>
  <c r="GK342" i="1" s="1"/>
  <c r="AD342" i="1"/>
  <c r="AB342" i="1" s="1"/>
  <c r="AD569" i="1"/>
  <c r="AB569" i="1" s="1"/>
  <c r="AB526" i="1"/>
  <c r="CR518" i="1"/>
  <c r="Q518" i="1" s="1"/>
  <c r="CS518" i="1"/>
  <c r="R518" i="1" s="1"/>
  <c r="GK518" i="1" s="1"/>
  <c r="AD510" i="1"/>
  <c r="AB510" i="1" s="1"/>
  <c r="CS510" i="1"/>
  <c r="CC535" i="1"/>
  <c r="CY423" i="1"/>
  <c r="X423" i="1" s="1"/>
  <c r="CZ423" i="1"/>
  <c r="Y423" i="1" s="1"/>
  <c r="AZ199" i="1"/>
  <c r="CI194" i="1"/>
  <c r="AD531" i="1"/>
  <c r="AB531" i="1" s="1"/>
  <c r="CP530" i="1"/>
  <c r="O530" i="1" s="1"/>
  <c r="GM530" i="1" s="1"/>
  <c r="GP530" i="1" s="1"/>
  <c r="CZ525" i="1"/>
  <c r="Y525" i="1" s="1"/>
  <c r="AB525" i="1"/>
  <c r="AB523" i="1"/>
  <c r="AB522" i="1"/>
  <c r="AD518" i="1"/>
  <c r="AB518" i="1" s="1"/>
  <c r="CZ513" i="1"/>
  <c r="Y513" i="1" s="1"/>
  <c r="CY513" i="1"/>
  <c r="X513" i="1" s="1"/>
  <c r="P512" i="1"/>
  <c r="BB406" i="1"/>
  <c r="F469" i="1"/>
  <c r="CB426" i="1"/>
  <c r="BD339" i="1"/>
  <c r="F369" i="1"/>
  <c r="BD374" i="1"/>
  <c r="R273" i="1"/>
  <c r="AE267" i="1"/>
  <c r="BZ619" i="1"/>
  <c r="F581" i="1"/>
  <c r="AO567" i="1"/>
  <c r="BZ577" i="1"/>
  <c r="CY523" i="1"/>
  <c r="X523" i="1" s="1"/>
  <c r="GM523" i="1" s="1"/>
  <c r="GP523" i="1" s="1"/>
  <c r="CQ518" i="1"/>
  <c r="P518" i="1" s="1"/>
  <c r="BC410" i="1"/>
  <c r="F442" i="1"/>
  <c r="BC456" i="1"/>
  <c r="AI426" i="1"/>
  <c r="Q273" i="1"/>
  <c r="AD267" i="1"/>
  <c r="AH426" i="1"/>
  <c r="CR512" i="1"/>
  <c r="Q512" i="1" s="1"/>
  <c r="CQ503" i="1"/>
  <c r="P503" i="1" s="1"/>
  <c r="GM424" i="1"/>
  <c r="GP424" i="1" s="1"/>
  <c r="CY419" i="1"/>
  <c r="X419" i="1" s="1"/>
  <c r="CZ419" i="1"/>
  <c r="Y419" i="1" s="1"/>
  <c r="S273" i="1"/>
  <c r="AF267" i="1"/>
  <c r="CM156" i="1"/>
  <c r="BD162" i="1"/>
  <c r="CU75" i="3"/>
  <c r="CV75" i="3"/>
  <c r="CX75" i="3"/>
  <c r="R499" i="1"/>
  <c r="CR494" i="1"/>
  <c r="Q494" i="1" s="1"/>
  <c r="CS494" i="1"/>
  <c r="R494" i="1" s="1"/>
  <c r="GK494" i="1" s="1"/>
  <c r="AD494" i="1"/>
  <c r="AB494" i="1" s="1"/>
  <c r="CJ426" i="1"/>
  <c r="CM267" i="1"/>
  <c r="BD273" i="1"/>
  <c r="CZ160" i="1"/>
  <c r="Y160" i="1" s="1"/>
  <c r="CY160" i="1"/>
  <c r="X160" i="1" s="1"/>
  <c r="AB421" i="1"/>
  <c r="AD418" i="1"/>
  <c r="AB418" i="1" s="1"/>
  <c r="CR418" i="1"/>
  <c r="Q418" i="1" s="1"/>
  <c r="AP374" i="1"/>
  <c r="AP339" i="1"/>
  <c r="CY342" i="1"/>
  <c r="X342" i="1" s="1"/>
  <c r="CZ342" i="1"/>
  <c r="Y342" i="1" s="1"/>
  <c r="CQ270" i="1"/>
  <c r="P270" i="1" s="1"/>
  <c r="W269" i="1"/>
  <c r="BB110" i="1"/>
  <c r="F137" i="1"/>
  <c r="CQ120" i="1"/>
  <c r="P120" i="1" s="1"/>
  <c r="CD71" i="1"/>
  <c r="AU78" i="1"/>
  <c r="CQ506" i="1"/>
  <c r="P506" i="1" s="1"/>
  <c r="CR197" i="1"/>
  <c r="Q197" i="1" s="1"/>
  <c r="CP197" i="1" s="1"/>
  <c r="O197" i="1" s="1"/>
  <c r="CS197" i="1"/>
  <c r="R197" i="1" s="1"/>
  <c r="GK197" i="1" s="1"/>
  <c r="AD197" i="1"/>
  <c r="AB197" i="1" s="1"/>
  <c r="CY122" i="1"/>
  <c r="X122" i="1" s="1"/>
  <c r="CZ122" i="1"/>
  <c r="Y122" i="1" s="1"/>
  <c r="CU114" i="3"/>
  <c r="CV114" i="3"/>
  <c r="CX114" i="3"/>
  <c r="CZ508" i="1"/>
  <c r="Y508" i="1" s="1"/>
  <c r="AJ426" i="1"/>
  <c r="CY271" i="1"/>
  <c r="X271" i="1" s="1"/>
  <c r="CZ271" i="1"/>
  <c r="Y271" i="1" s="1"/>
  <c r="BZ110" i="1"/>
  <c r="CG124" i="1"/>
  <c r="AQ124" i="1"/>
  <c r="CX109" i="3"/>
  <c r="CU108" i="3"/>
  <c r="CX108" i="3"/>
  <c r="CX110" i="3"/>
  <c r="CU72" i="3"/>
  <c r="CV72" i="3"/>
  <c r="CX72" i="3"/>
  <c r="CX74" i="3"/>
  <c r="CX73" i="3"/>
  <c r="AB507" i="1"/>
  <c r="AD499" i="1"/>
  <c r="AB499" i="1" s="1"/>
  <c r="BY426" i="1"/>
  <c r="AB413" i="1"/>
  <c r="CU11" i="3"/>
  <c r="V270" i="1"/>
  <c r="T270" i="1"/>
  <c r="S269" i="1"/>
  <c r="BD231" i="1"/>
  <c r="F260" i="1"/>
  <c r="F237" i="1"/>
  <c r="O231" i="1"/>
  <c r="F166" i="1"/>
  <c r="CT119" i="1"/>
  <c r="S119" i="1" s="1"/>
  <c r="AB119" i="1"/>
  <c r="CX98" i="3"/>
  <c r="CU96" i="3"/>
  <c r="CX96" i="3"/>
  <c r="CV96" i="3"/>
  <c r="CB535" i="1"/>
  <c r="AD496" i="1"/>
  <c r="AB496" i="1" s="1"/>
  <c r="CR422" i="1"/>
  <c r="Q422" i="1" s="1"/>
  <c r="CS422" i="1"/>
  <c r="R422" i="1" s="1"/>
  <c r="GK422" i="1" s="1"/>
  <c r="AE194" i="1"/>
  <c r="R199" i="1"/>
  <c r="Y162" i="1"/>
  <c r="AL156" i="1"/>
  <c r="AD513" i="1"/>
  <c r="AB513" i="1" s="1"/>
  <c r="AB504" i="1"/>
  <c r="CP496" i="1"/>
  <c r="O496" i="1" s="1"/>
  <c r="GM496" i="1" s="1"/>
  <c r="GP496" i="1" s="1"/>
  <c r="CY417" i="1"/>
  <c r="X417" i="1" s="1"/>
  <c r="CZ417" i="1"/>
  <c r="Y417" i="1" s="1"/>
  <c r="AD426" i="1"/>
  <c r="X162" i="1"/>
  <c r="AK156" i="1"/>
  <c r="CU116" i="3"/>
  <c r="CX116" i="3"/>
  <c r="CX117" i="3"/>
  <c r="CV84" i="3"/>
  <c r="CX84" i="3"/>
  <c r="CX86" i="3"/>
  <c r="CU84" i="3"/>
  <c r="AD517" i="1"/>
  <c r="AB517" i="1" s="1"/>
  <c r="CQ514" i="1"/>
  <c r="P514" i="1" s="1"/>
  <c r="AD503" i="1"/>
  <c r="AB503" i="1" s="1"/>
  <c r="W499" i="1"/>
  <c r="CP422" i="1"/>
  <c r="O422" i="1" s="1"/>
  <c r="GM422" i="1" s="1"/>
  <c r="GP422" i="1" s="1"/>
  <c r="CP416" i="1"/>
  <c r="O416" i="1" s="1"/>
  <c r="GX269" i="1"/>
  <c r="BC194" i="1"/>
  <c r="CU9" i="3"/>
  <c r="CX9" i="3"/>
  <c r="P273" i="1"/>
  <c r="CF273" i="1"/>
  <c r="CY196" i="1"/>
  <c r="X196" i="1" s="1"/>
  <c r="CZ196" i="1"/>
  <c r="Y196" i="1" s="1"/>
  <c r="CL156" i="1"/>
  <c r="BC162" i="1"/>
  <c r="W162" i="1"/>
  <c r="AJ156" i="1"/>
  <c r="DF59" i="3"/>
  <c r="DJ59" i="3" s="1"/>
  <c r="DG59" i="3"/>
  <c r="DH59" i="3"/>
  <c r="DI59" i="3"/>
  <c r="U344" i="1"/>
  <c r="AF156" i="1"/>
  <c r="S162" i="1"/>
  <c r="CY75" i="1"/>
  <c r="X75" i="1" s="1"/>
  <c r="CZ75" i="1"/>
  <c r="Y75" i="1" s="1"/>
  <c r="BC339" i="1"/>
  <c r="BC374" i="1"/>
  <c r="CR269" i="1"/>
  <c r="Q269" i="1" s="1"/>
  <c r="CS269" i="1"/>
  <c r="R269" i="1" s="1"/>
  <c r="GK269" i="1" s="1"/>
  <c r="AD269" i="1"/>
  <c r="AB269" i="1" s="1"/>
  <c r="F219" i="1"/>
  <c r="W197" i="1"/>
  <c r="CC71" i="1"/>
  <c r="AT78" i="1"/>
  <c r="CY76" i="1"/>
  <c r="X76" i="1" s="1"/>
  <c r="CZ76" i="1"/>
  <c r="Y76" i="1" s="1"/>
  <c r="CQ75" i="1"/>
  <c r="P75" i="1" s="1"/>
  <c r="CV144" i="3"/>
  <c r="CX144" i="3"/>
  <c r="AO426" i="1"/>
  <c r="AB423" i="1"/>
  <c r="BB339" i="1"/>
  <c r="BB374" i="1"/>
  <c r="AI339" i="1"/>
  <c r="V344" i="1"/>
  <c r="BY339" i="1"/>
  <c r="AK231" i="1"/>
  <c r="X235" i="1"/>
  <c r="V197" i="1"/>
  <c r="AS78" i="1"/>
  <c r="CB71" i="1"/>
  <c r="DF101" i="3"/>
  <c r="DG101" i="3"/>
  <c r="DI101" i="3"/>
  <c r="DJ101" i="3" s="1"/>
  <c r="DH101" i="3"/>
  <c r="BD426" i="1"/>
  <c r="CP122" i="1"/>
  <c r="O122" i="1" s="1"/>
  <c r="GM122" i="1" s="1"/>
  <c r="GP122" i="1" s="1"/>
  <c r="AB76" i="1"/>
  <c r="CQ76" i="1"/>
  <c r="P76" i="1" s="1"/>
  <c r="CP76" i="1" s="1"/>
  <c r="O76" i="1" s="1"/>
  <c r="AB419" i="1"/>
  <c r="CI344" i="1"/>
  <c r="CW13" i="3"/>
  <c r="CX13" i="3"/>
  <c r="CU12" i="3"/>
  <c r="CX14" i="3"/>
  <c r="AC267" i="1"/>
  <c r="F203" i="1"/>
  <c r="AO194" i="1"/>
  <c r="O194" i="1"/>
  <c r="F201" i="1"/>
  <c r="CY118" i="1"/>
  <c r="X118" i="1" s="1"/>
  <c r="CZ118" i="1"/>
  <c r="Y118" i="1" s="1"/>
  <c r="BZ71" i="1"/>
  <c r="CI78" i="1"/>
  <c r="AQ78" i="1"/>
  <c r="CZ416" i="1"/>
  <c r="Y416" i="1" s="1"/>
  <c r="Q156" i="1"/>
  <c r="F174" i="1"/>
  <c r="DH124" i="3"/>
  <c r="DG124" i="3"/>
  <c r="DI124" i="3"/>
  <c r="DJ124" i="3" s="1"/>
  <c r="DF124" i="3"/>
  <c r="CX18" i="3"/>
  <c r="CU16" i="3"/>
  <c r="CX21" i="3"/>
  <c r="CX17" i="3"/>
  <c r="CX20" i="3"/>
  <c r="CX16" i="3"/>
  <c r="F348" i="1"/>
  <c r="AO339" i="1"/>
  <c r="CU15" i="3"/>
  <c r="CV15" i="3"/>
  <c r="CX15" i="3"/>
  <c r="CR270" i="1"/>
  <c r="Q270" i="1" s="1"/>
  <c r="CS270" i="1"/>
  <c r="R270" i="1" s="1"/>
  <c r="GK270" i="1" s="1"/>
  <c r="F255" i="1"/>
  <c r="AR235" i="1"/>
  <c r="CA231" i="1"/>
  <c r="AG231" i="1"/>
  <c r="T235" i="1"/>
  <c r="P156" i="1"/>
  <c r="F165" i="1"/>
  <c r="CR159" i="1"/>
  <c r="Q159" i="1" s="1"/>
  <c r="CS159" i="1"/>
  <c r="R159" i="1" s="1"/>
  <c r="GK159" i="1" s="1"/>
  <c r="CV122" i="3"/>
  <c r="CX122" i="3"/>
  <c r="CU122" i="3"/>
  <c r="CU87" i="3"/>
  <c r="CV87" i="3"/>
  <c r="CX87" i="3"/>
  <c r="CR417" i="1"/>
  <c r="Q417" i="1" s="1"/>
  <c r="CP417" i="1" s="1"/>
  <c r="O417" i="1" s="1"/>
  <c r="F360" i="1"/>
  <c r="T273" i="1"/>
  <c r="AG267" i="1"/>
  <c r="GX270" i="1"/>
  <c r="AD270" i="1"/>
  <c r="AB270" i="1" s="1"/>
  <c r="AQ235" i="1"/>
  <c r="CG235" i="1"/>
  <c r="S235" i="1"/>
  <c r="AF231" i="1"/>
  <c r="CJ194" i="1"/>
  <c r="AS162" i="1"/>
  <c r="AD159" i="1"/>
  <c r="AB159" i="1" s="1"/>
  <c r="F140" i="1"/>
  <c r="V162" i="1"/>
  <c r="AI156" i="1"/>
  <c r="CS122" i="1"/>
  <c r="R122" i="1" s="1"/>
  <c r="GK122" i="1" s="1"/>
  <c r="AD122" i="1"/>
  <c r="AB122" i="1" s="1"/>
  <c r="CR122" i="1"/>
  <c r="Q122" i="1" s="1"/>
  <c r="BY124" i="1"/>
  <c r="DF127" i="3"/>
  <c r="DH127" i="3"/>
  <c r="DI127" i="3"/>
  <c r="DG127" i="3"/>
  <c r="DJ127" i="3" s="1"/>
  <c r="F248" i="1"/>
  <c r="BB231" i="1"/>
  <c r="AH156" i="1"/>
  <c r="U162" i="1"/>
  <c r="CR120" i="1"/>
  <c r="Q120" i="1" s="1"/>
  <c r="CS120" i="1"/>
  <c r="CY115" i="1"/>
  <c r="X115" i="1" s="1"/>
  <c r="CZ115" i="1"/>
  <c r="Y115" i="1" s="1"/>
  <c r="W114" i="1"/>
  <c r="BC39" i="1"/>
  <c r="CL30" i="1"/>
  <c r="CV76" i="3"/>
  <c r="CX76" i="3"/>
  <c r="CX145" i="3"/>
  <c r="AP199" i="1"/>
  <c r="BY194" i="1"/>
  <c r="AK194" i="1"/>
  <c r="X199" i="1"/>
  <c r="U197" i="1"/>
  <c r="CQ159" i="1"/>
  <c r="P159" i="1" s="1"/>
  <c r="CZ158" i="1"/>
  <c r="Y158" i="1" s="1"/>
  <c r="CY158" i="1"/>
  <c r="X158" i="1" s="1"/>
  <c r="BX194" i="1"/>
  <c r="CE199" i="1"/>
  <c r="AJ194" i="1"/>
  <c r="W199" i="1"/>
  <c r="S197" i="1"/>
  <c r="CR36" i="1"/>
  <c r="Q36" i="1" s="1"/>
  <c r="CS36" i="1"/>
  <c r="DF32" i="3"/>
  <c r="DG32" i="3"/>
  <c r="DH32" i="3"/>
  <c r="DI32" i="3"/>
  <c r="DJ32" i="3" s="1"/>
  <c r="DG25" i="3"/>
  <c r="DH25" i="3"/>
  <c r="DF25" i="3"/>
  <c r="DJ25" i="3" s="1"/>
  <c r="DI25" i="3"/>
  <c r="AI194" i="1"/>
  <c r="V199" i="1"/>
  <c r="CY121" i="1"/>
  <c r="X121" i="1" s="1"/>
  <c r="CZ121" i="1"/>
  <c r="Y121" i="1" s="1"/>
  <c r="CC124" i="1"/>
  <c r="AD36" i="1"/>
  <c r="AB36" i="1" s="1"/>
  <c r="BD194" i="1"/>
  <c r="F224" i="1"/>
  <c r="CG162" i="1"/>
  <c r="CH162" i="1"/>
  <c r="BX156" i="1"/>
  <c r="F149" i="1"/>
  <c r="BD110" i="1"/>
  <c r="CR121" i="1"/>
  <c r="Q121" i="1" s="1"/>
  <c r="CP121" i="1" s="1"/>
  <c r="O121" i="1" s="1"/>
  <c r="CS121" i="1"/>
  <c r="AB116" i="1"/>
  <c r="F48" i="1"/>
  <c r="AP30" i="1"/>
  <c r="CQ36" i="1"/>
  <c r="P36" i="1" s="1"/>
  <c r="F220" i="1"/>
  <c r="T194" i="1"/>
  <c r="AQ39" i="1"/>
  <c r="BZ30" i="1"/>
  <c r="CG39" i="1"/>
  <c r="CI39" i="1"/>
  <c r="O273" i="1"/>
  <c r="AD231" i="1"/>
  <c r="GX197" i="1"/>
  <c r="T197" i="1"/>
  <c r="CR112" i="1"/>
  <c r="Q112" i="1" s="1"/>
  <c r="CP112" i="1" s="1"/>
  <c r="O112" i="1" s="1"/>
  <c r="GM112" i="1" s="1"/>
  <c r="GP112" i="1" s="1"/>
  <c r="CS112" i="1"/>
  <c r="R112" i="1" s="1"/>
  <c r="GK112" i="1" s="1"/>
  <c r="DF119" i="3"/>
  <c r="DJ119" i="3" s="1"/>
  <c r="DH119" i="3"/>
  <c r="DI119" i="3"/>
  <c r="DG119" i="3"/>
  <c r="CB124" i="1"/>
  <c r="CS75" i="1"/>
  <c r="R75" i="1" s="1"/>
  <c r="GK75" i="1" s="1"/>
  <c r="AD75" i="1"/>
  <c r="AB75" i="1" s="1"/>
  <c r="CR75" i="1"/>
  <c r="Q75" i="1" s="1"/>
  <c r="CY74" i="1"/>
  <c r="X74" i="1" s="1"/>
  <c r="CZ74" i="1"/>
  <c r="Y74" i="1" s="1"/>
  <c r="CW93" i="3"/>
  <c r="CX93" i="3"/>
  <c r="CV8" i="3"/>
  <c r="BA162" i="1"/>
  <c r="T114" i="1"/>
  <c r="BB39" i="1"/>
  <c r="CK30" i="1"/>
  <c r="DF139" i="3"/>
  <c r="DG139" i="3"/>
  <c r="DH139" i="3"/>
  <c r="DI139" i="3"/>
  <c r="DJ139" i="3" s="1"/>
  <c r="DG136" i="3"/>
  <c r="DH136" i="3"/>
  <c r="DI136" i="3"/>
  <c r="DF136" i="3"/>
  <c r="DJ136" i="3" s="1"/>
  <c r="DF71" i="3"/>
  <c r="DJ71" i="3" s="1"/>
  <c r="DG71" i="3"/>
  <c r="DH71" i="3"/>
  <c r="DI71" i="3"/>
  <c r="DF52" i="3"/>
  <c r="DJ52" i="3" s="1"/>
  <c r="DG52" i="3"/>
  <c r="DH52" i="3"/>
  <c r="DI52" i="3"/>
  <c r="DF50" i="3"/>
  <c r="DG50" i="3"/>
  <c r="DJ50" i="3" s="1"/>
  <c r="DH50" i="3"/>
  <c r="DI50" i="3"/>
  <c r="DF45" i="3"/>
  <c r="DJ45" i="3" s="1"/>
  <c r="DG45" i="3"/>
  <c r="DH45" i="3"/>
  <c r="DI45" i="3"/>
  <c r="GX114" i="1"/>
  <c r="S114" i="1"/>
  <c r="CZ113" i="1"/>
  <c r="Y113" i="1" s="1"/>
  <c r="CY113" i="1"/>
  <c r="X113" i="1" s="1"/>
  <c r="GM113" i="1" s="1"/>
  <c r="GP113" i="1" s="1"/>
  <c r="AR78" i="1"/>
  <c r="P74" i="1"/>
  <c r="CP74" i="1" s="1"/>
  <c r="O74" i="1" s="1"/>
  <c r="CV12" i="3"/>
  <c r="AD114" i="1"/>
  <c r="AB114" i="1" s="1"/>
  <c r="CR114" i="1"/>
  <c r="Q114" i="1" s="1"/>
  <c r="CS114" i="1"/>
  <c r="R114" i="1" s="1"/>
  <c r="GK114" i="1" s="1"/>
  <c r="W71" i="1"/>
  <c r="F102" i="1"/>
  <c r="CY37" i="1"/>
  <c r="X37" i="1" s="1"/>
  <c r="CZ37" i="1"/>
  <c r="Y37" i="1" s="1"/>
  <c r="AI39" i="1"/>
  <c r="DI141" i="3"/>
  <c r="DF141" i="3"/>
  <c r="DJ141" i="3" s="1"/>
  <c r="DG141" i="3"/>
  <c r="DH141" i="3"/>
  <c r="DF106" i="3"/>
  <c r="DJ106" i="3" s="1"/>
  <c r="DG106" i="3"/>
  <c r="DH106" i="3"/>
  <c r="DI106" i="3"/>
  <c r="DF104" i="3"/>
  <c r="DH104" i="3"/>
  <c r="DI104" i="3"/>
  <c r="DJ104" i="3" s="1"/>
  <c r="DG104" i="3"/>
  <c r="P114" i="1"/>
  <c r="GX75" i="1"/>
  <c r="CY34" i="1"/>
  <c r="X34" i="1" s="1"/>
  <c r="CZ34" i="1"/>
  <c r="Y34" i="1" s="1"/>
  <c r="AF39" i="1"/>
  <c r="AH39" i="1"/>
  <c r="DG38" i="3"/>
  <c r="DH38" i="3"/>
  <c r="DF38" i="3"/>
  <c r="DJ38" i="3" s="1"/>
  <c r="DI38" i="3"/>
  <c r="BB273" i="1"/>
  <c r="CF162" i="1"/>
  <c r="BA71" i="1"/>
  <c r="F98" i="1"/>
  <c r="F82" i="1"/>
  <c r="AO71" i="1"/>
  <c r="CV56" i="3"/>
  <c r="CX56" i="3"/>
  <c r="CV16" i="3"/>
  <c r="BA273" i="1"/>
  <c r="CE162" i="1"/>
  <c r="CR160" i="1"/>
  <c r="Q160" i="1" s="1"/>
  <c r="CP160" i="1" s="1"/>
  <c r="O160" i="1" s="1"/>
  <c r="CS160" i="1"/>
  <c r="R160" i="1" s="1"/>
  <c r="GK160" i="1" s="1"/>
  <c r="CU6" i="3"/>
  <c r="CX7" i="3"/>
  <c r="Q118" i="1"/>
  <c r="AP71" i="1"/>
  <c r="CP34" i="1"/>
  <c r="O34" i="1" s="1"/>
  <c r="DF81" i="3"/>
  <c r="DH81" i="3"/>
  <c r="DI81" i="3"/>
  <c r="DG81" i="3"/>
  <c r="DJ81" i="3" s="1"/>
  <c r="AU162" i="1"/>
  <c r="AD160" i="1"/>
  <c r="AB160" i="1" s="1"/>
  <c r="V122" i="1"/>
  <c r="CV112" i="3"/>
  <c r="CX112" i="3"/>
  <c r="CV22" i="3"/>
  <c r="CX22" i="3"/>
  <c r="Q71" i="1"/>
  <c r="F90" i="1"/>
  <c r="DI90" i="3"/>
  <c r="DF90" i="3"/>
  <c r="DJ90" i="3" s="1"/>
  <c r="DG90" i="3"/>
  <c r="DH90" i="3"/>
  <c r="CX62" i="3"/>
  <c r="CG78" i="1"/>
  <c r="P71" i="1"/>
  <c r="DG131" i="3"/>
  <c r="DF131" i="3"/>
  <c r="DH131" i="3"/>
  <c r="DI131" i="3"/>
  <c r="DJ131" i="3" s="1"/>
  <c r="DF102" i="3"/>
  <c r="DJ102" i="3" s="1"/>
  <c r="DI102" i="3"/>
  <c r="DG70" i="3"/>
  <c r="DH70" i="3"/>
  <c r="DF70" i="3"/>
  <c r="DJ70" i="3" s="1"/>
  <c r="DI70" i="3"/>
  <c r="AD115" i="1"/>
  <c r="AB115" i="1" s="1"/>
  <c r="T74" i="1"/>
  <c r="BX71" i="1"/>
  <c r="DF80" i="3"/>
  <c r="DG80" i="3"/>
  <c r="DH80" i="3"/>
  <c r="DI80" i="3"/>
  <c r="DJ80" i="3" s="1"/>
  <c r="CX19" i="3"/>
  <c r="AB37" i="1"/>
  <c r="DF113" i="3"/>
  <c r="DJ113" i="3" s="1"/>
  <c r="DG113" i="3"/>
  <c r="DH113" i="3"/>
  <c r="DI113" i="3"/>
  <c r="DI28" i="3"/>
  <c r="DF28" i="3"/>
  <c r="DJ28" i="3" s="1"/>
  <c r="DG28" i="3"/>
  <c r="DH28" i="3"/>
  <c r="AT162" i="1"/>
  <c r="DF100" i="3"/>
  <c r="DG100" i="3"/>
  <c r="DH100" i="3"/>
  <c r="DI100" i="3"/>
  <c r="DJ100" i="3" s="1"/>
  <c r="CV46" i="3"/>
  <c r="CX46" i="3"/>
  <c r="DF26" i="3"/>
  <c r="DJ26" i="3" s="1"/>
  <c r="DG26" i="3"/>
  <c r="DI26" i="3"/>
  <c r="CV11" i="3"/>
  <c r="CX11" i="3"/>
  <c r="DG140" i="3"/>
  <c r="DF140" i="3"/>
  <c r="DJ140" i="3" s="1"/>
  <c r="DH140" i="3"/>
  <c r="DI140" i="3"/>
  <c r="DF135" i="3"/>
  <c r="DG135" i="3"/>
  <c r="DH135" i="3"/>
  <c r="DI135" i="3"/>
  <c r="DJ135" i="3" s="1"/>
  <c r="DF107" i="3"/>
  <c r="DJ107" i="3" s="1"/>
  <c r="DH107" i="3"/>
  <c r="DI107" i="3"/>
  <c r="DH39" i="3"/>
  <c r="DI39" i="3"/>
  <c r="DJ39" i="3" s="1"/>
  <c r="DF39" i="3"/>
  <c r="DG39" i="3"/>
  <c r="DF31" i="3"/>
  <c r="DJ31" i="3" s="1"/>
  <c r="DI31" i="3"/>
  <c r="DG31" i="3"/>
  <c r="DH31" i="3"/>
  <c r="DG5" i="3"/>
  <c r="DH5" i="3"/>
  <c r="DI5" i="3"/>
  <c r="DF5" i="3"/>
  <c r="DJ5" i="3" s="1"/>
  <c r="BD71" i="1"/>
  <c r="CR32" i="1"/>
  <c r="Q32" i="1" s="1"/>
  <c r="CP32" i="1" s="1"/>
  <c r="O32" i="1" s="1"/>
  <c r="CS32" i="1"/>
  <c r="R32" i="1" s="1"/>
  <c r="GK32" i="1" s="1"/>
  <c r="CX123" i="3"/>
  <c r="CE78" i="1"/>
  <c r="CH78" i="1"/>
  <c r="CC30" i="1"/>
  <c r="AT39" i="1"/>
  <c r="DG132" i="3"/>
  <c r="DH132" i="3"/>
  <c r="DI132" i="3"/>
  <c r="CV116" i="3"/>
  <c r="DG103" i="3"/>
  <c r="DH103" i="3"/>
  <c r="DI103" i="3"/>
  <c r="DF103" i="3"/>
  <c r="DJ103" i="3" s="1"/>
  <c r="DF94" i="3"/>
  <c r="DJ94" i="3" s="1"/>
  <c r="DI94" i="3"/>
  <c r="DG94" i="3"/>
  <c r="DH94" i="3"/>
  <c r="DF42" i="3"/>
  <c r="DJ42" i="3" s="1"/>
  <c r="DH42" i="3"/>
  <c r="DI42" i="3"/>
  <c r="DG42" i="3"/>
  <c r="P73" i="1"/>
  <c r="AC71" i="1"/>
  <c r="CP35" i="1"/>
  <c r="O35" i="1" s="1"/>
  <c r="CB30" i="1"/>
  <c r="AS39" i="1"/>
  <c r="CX143" i="3"/>
  <c r="DG66" i="3"/>
  <c r="DI66" i="3"/>
  <c r="DF66" i="3"/>
  <c r="DJ66" i="3" s="1"/>
  <c r="DH66" i="3"/>
  <c r="T78" i="1"/>
  <c r="CX97" i="3"/>
  <c r="DG78" i="3"/>
  <c r="DH78" i="3"/>
  <c r="CX43" i="3"/>
  <c r="DF40" i="3"/>
  <c r="DI40" i="3"/>
  <c r="DJ40" i="3" s="1"/>
  <c r="DF3" i="3"/>
  <c r="DI3" i="3"/>
  <c r="DJ3" i="3" s="1"/>
  <c r="DF118" i="3"/>
  <c r="DG118" i="3"/>
  <c r="DG88" i="3"/>
  <c r="DH88" i="3"/>
  <c r="DI88" i="3"/>
  <c r="DJ88" i="3" s="1"/>
  <c r="CX54" i="3"/>
  <c r="CX12" i="3"/>
  <c r="DG95" i="3"/>
  <c r="DH95" i="3"/>
  <c r="DI95" i="3"/>
  <c r="DG33" i="3"/>
  <c r="DJ33" i="3" s="1"/>
  <c r="DH33" i="3"/>
  <c r="DI33" i="3"/>
  <c r="CV9" i="3"/>
  <c r="CV108" i="3"/>
  <c r="CX85" i="3"/>
  <c r="DF65" i="3"/>
  <c r="DG65" i="3"/>
  <c r="DH65" i="3"/>
  <c r="CX61" i="3"/>
  <c r="DG51" i="3"/>
  <c r="DI51" i="3"/>
  <c r="DH48" i="3"/>
  <c r="DI48" i="3"/>
  <c r="CW37" i="3"/>
  <c r="CX37" i="3"/>
  <c r="DF126" i="3"/>
  <c r="DG126" i="3"/>
  <c r="DF79" i="3"/>
  <c r="DJ79" i="3" s="1"/>
  <c r="DG79" i="3"/>
  <c r="DF30" i="3"/>
  <c r="DJ30" i="3" s="1"/>
  <c r="DG30" i="3"/>
  <c r="DF27" i="3"/>
  <c r="DJ27" i="3" s="1"/>
  <c r="DH27" i="3"/>
  <c r="DI27" i="3"/>
  <c r="CV6" i="3"/>
  <c r="CX6" i="3"/>
  <c r="CX115" i="3"/>
  <c r="CW105" i="3"/>
  <c r="CX105" i="3"/>
  <c r="DF89" i="3"/>
  <c r="DH89" i="3"/>
  <c r="DI89" i="3"/>
  <c r="DJ89" i="3" s="1"/>
  <c r="DG58" i="3"/>
  <c r="DI58" i="3"/>
  <c r="DF4" i="3"/>
  <c r="DG4" i="3"/>
  <c r="DJ4" i="3" s="1"/>
  <c r="DH4" i="3"/>
  <c r="CW69" i="3"/>
  <c r="CX69" i="3"/>
  <c r="CV44" i="3"/>
  <c r="CX44" i="3"/>
  <c r="DI36" i="3"/>
  <c r="DJ36" i="3" s="1"/>
  <c r="DH120" i="3"/>
  <c r="DG34" i="3"/>
  <c r="DJ34" i="3" s="1"/>
  <c r="DI34" i="3"/>
  <c r="CV10" i="3"/>
  <c r="CX10" i="3"/>
  <c r="CX8" i="3"/>
  <c r="BA124" i="1" l="1"/>
  <c r="CJ110" i="1"/>
  <c r="R267" i="7"/>
  <c r="J270" i="7" s="1"/>
  <c r="R273" i="8"/>
  <c r="K276" i="8" s="1"/>
  <c r="V124" i="1"/>
  <c r="AI110" i="1"/>
  <c r="T301" i="8"/>
  <c r="K306" i="8" s="1"/>
  <c r="T295" i="7"/>
  <c r="J300" i="7" s="1"/>
  <c r="R498" i="7"/>
  <c r="J501" i="7" s="1"/>
  <c r="R504" i="8"/>
  <c r="K507" i="8" s="1"/>
  <c r="R482" i="7"/>
  <c r="J486" i="7" s="1"/>
  <c r="R488" i="8"/>
  <c r="K492" i="8" s="1"/>
  <c r="R474" i="7"/>
  <c r="J478" i="7" s="1"/>
  <c r="R480" i="8"/>
  <c r="K484" i="8" s="1"/>
  <c r="T267" i="8"/>
  <c r="K270" i="8" s="1"/>
  <c r="T261" i="7"/>
  <c r="J264" i="7" s="1"/>
  <c r="GM527" i="1"/>
  <c r="GP527" i="1" s="1"/>
  <c r="AK344" i="1"/>
  <c r="X344" i="1" s="1"/>
  <c r="R129" i="8"/>
  <c r="K134" i="8" s="1"/>
  <c r="R123" i="7"/>
  <c r="J128" i="7" s="1"/>
  <c r="CJ567" i="1"/>
  <c r="BA577" i="1"/>
  <c r="AG110" i="1"/>
  <c r="T124" i="1"/>
  <c r="R440" i="8"/>
  <c r="K444" i="8" s="1"/>
  <c r="R434" i="7"/>
  <c r="J438" i="7" s="1"/>
  <c r="R421" i="8"/>
  <c r="K424" i="8" s="1"/>
  <c r="R415" i="7"/>
  <c r="J418" i="7" s="1"/>
  <c r="R206" i="8"/>
  <c r="K211" i="8" s="1"/>
  <c r="R200" i="7"/>
  <c r="J205" i="7" s="1"/>
  <c r="R162" i="8"/>
  <c r="K166" i="8" s="1"/>
  <c r="R156" i="7"/>
  <c r="J160" i="7" s="1"/>
  <c r="GM571" i="1"/>
  <c r="GP571" i="1" s="1"/>
  <c r="T359" i="7"/>
  <c r="J363" i="7" s="1"/>
  <c r="T365" i="8"/>
  <c r="K369" i="8" s="1"/>
  <c r="R666" i="1"/>
  <c r="GK666" i="1" s="1"/>
  <c r="V496" i="8"/>
  <c r="V490" i="7"/>
  <c r="AO267" i="1"/>
  <c r="F277" i="1"/>
  <c r="J234" i="7"/>
  <c r="K240" i="8"/>
  <c r="CZ522" i="1"/>
  <c r="Y522" i="1" s="1"/>
  <c r="K282" i="8"/>
  <c r="J276" i="7"/>
  <c r="R522" i="1"/>
  <c r="GK522" i="1" s="1"/>
  <c r="V274" i="7"/>
  <c r="V280" i="8"/>
  <c r="CG267" i="1"/>
  <c r="AX273" i="1"/>
  <c r="CY418" i="1"/>
  <c r="X418" i="1" s="1"/>
  <c r="K156" i="8"/>
  <c r="J150" i="7"/>
  <c r="CZ418" i="1"/>
  <c r="Y418" i="1" s="1"/>
  <c r="R498" i="1"/>
  <c r="GK498" i="1" s="1"/>
  <c r="V185" i="7"/>
  <c r="V191" i="8"/>
  <c r="T253" i="7"/>
  <c r="J258" i="7" s="1"/>
  <c r="T259" i="8"/>
  <c r="K264" i="8" s="1"/>
  <c r="R372" i="8"/>
  <c r="K376" i="8" s="1"/>
  <c r="R366" i="7"/>
  <c r="J370" i="7" s="1"/>
  <c r="I373" i="7" s="1"/>
  <c r="GM158" i="1"/>
  <c r="GP158" i="1" s="1"/>
  <c r="J68" i="7"/>
  <c r="K74" i="8"/>
  <c r="T165" i="7"/>
  <c r="J171" i="7" s="1"/>
  <c r="T171" i="8"/>
  <c r="K177" i="8" s="1"/>
  <c r="T191" i="8"/>
  <c r="K195" i="8" s="1"/>
  <c r="J197" i="8" s="1"/>
  <c r="T185" i="7"/>
  <c r="J189" i="7" s="1"/>
  <c r="R506" i="1"/>
  <c r="GK506" i="1" s="1"/>
  <c r="V210" i="7"/>
  <c r="V216" i="8"/>
  <c r="J368" i="7"/>
  <c r="K374" i="8"/>
  <c r="DH41" i="3"/>
  <c r="DI41" i="3"/>
  <c r="DJ41" i="3" s="1"/>
  <c r="DF2" i="3"/>
  <c r="R171" i="8"/>
  <c r="K176" i="8" s="1"/>
  <c r="R165" i="7"/>
  <c r="J170" i="7" s="1"/>
  <c r="W577" i="1"/>
  <c r="F601" i="1" s="1"/>
  <c r="L462" i="8"/>
  <c r="K456" i="7"/>
  <c r="DF49" i="3"/>
  <c r="K52" i="8"/>
  <c r="J46" i="7"/>
  <c r="W413" i="1"/>
  <c r="AZ162" i="1"/>
  <c r="CI156" i="1"/>
  <c r="GM196" i="1"/>
  <c r="GP196" i="1" s="1"/>
  <c r="CZ413" i="1"/>
  <c r="Y413" i="1" s="1"/>
  <c r="GM417" i="1"/>
  <c r="GP417" i="1" s="1"/>
  <c r="F221" i="1"/>
  <c r="CP519" i="1"/>
  <c r="O519" i="1" s="1"/>
  <c r="GM519" i="1" s="1"/>
  <c r="GP519" i="1" s="1"/>
  <c r="R512" i="1"/>
  <c r="GK512" i="1" s="1"/>
  <c r="V232" i="7"/>
  <c r="V238" i="8"/>
  <c r="R315" i="8"/>
  <c r="K318" i="8" s="1"/>
  <c r="J321" i="8" s="1"/>
  <c r="R309" i="7"/>
  <c r="J312" i="7" s="1"/>
  <c r="I315" i="7" s="1"/>
  <c r="CP575" i="1"/>
  <c r="O575" i="1" s="1"/>
  <c r="K382" i="8"/>
  <c r="J389" i="8" s="1"/>
  <c r="J376" i="7"/>
  <c r="AT456" i="1"/>
  <c r="F474" i="1" s="1"/>
  <c r="T142" i="7"/>
  <c r="J146" i="7" s="1"/>
  <c r="T148" i="8"/>
  <c r="K152" i="8" s="1"/>
  <c r="R395" i="8"/>
  <c r="K401" i="8" s="1"/>
  <c r="R389" i="7"/>
  <c r="J395" i="7" s="1"/>
  <c r="F176" i="1"/>
  <c r="CJ30" i="1"/>
  <c r="GM495" i="1"/>
  <c r="GP495" i="1" s="1"/>
  <c r="K409" i="8"/>
  <c r="J403" i="7"/>
  <c r="K75" i="8"/>
  <c r="J69" i="7"/>
  <c r="GX413" i="1"/>
  <c r="J235" i="7"/>
  <c r="K241" i="8"/>
  <c r="AU194" i="1"/>
  <c r="F218" i="1"/>
  <c r="R223" i="8"/>
  <c r="K226" i="8" s="1"/>
  <c r="R217" i="7"/>
  <c r="J220" i="7" s="1"/>
  <c r="I223" i="7" s="1"/>
  <c r="T315" i="8"/>
  <c r="K319" i="8" s="1"/>
  <c r="T309" i="7"/>
  <c r="J313" i="7" s="1"/>
  <c r="J304" i="7"/>
  <c r="K310" i="8"/>
  <c r="GK503" i="1"/>
  <c r="J203" i="7"/>
  <c r="K209" i="8"/>
  <c r="F207" i="1"/>
  <c r="GM501" i="1"/>
  <c r="GP501" i="1" s="1"/>
  <c r="CZ520" i="1"/>
  <c r="Y520" i="1" s="1"/>
  <c r="AI535" i="1"/>
  <c r="F291" i="1"/>
  <c r="AT267" i="1"/>
  <c r="DH92" i="3"/>
  <c r="DF92" i="3"/>
  <c r="DG92" i="3"/>
  <c r="DI92" i="3"/>
  <c r="DJ92" i="3" s="1"/>
  <c r="CY657" i="1"/>
  <c r="X657" i="1" s="1"/>
  <c r="K458" i="8"/>
  <c r="J452" i="7"/>
  <c r="CZ657" i="1"/>
  <c r="Y657" i="1" s="1"/>
  <c r="AL673" i="1" s="1"/>
  <c r="AT194" i="1"/>
  <c r="F217" i="1"/>
  <c r="J329" i="8"/>
  <c r="T414" i="8"/>
  <c r="K418" i="8" s="1"/>
  <c r="T408" i="7"/>
  <c r="J412" i="7" s="1"/>
  <c r="J226" i="7"/>
  <c r="K232" i="8"/>
  <c r="T288" i="7"/>
  <c r="J292" i="7" s="1"/>
  <c r="T294" i="8"/>
  <c r="K298" i="8" s="1"/>
  <c r="GM500" i="1"/>
  <c r="GP500" i="1" s="1"/>
  <c r="CZ655" i="1"/>
  <c r="Y655" i="1" s="1"/>
  <c r="K450" i="8"/>
  <c r="J444" i="7"/>
  <c r="CY655" i="1"/>
  <c r="X655" i="1" s="1"/>
  <c r="I512" i="7"/>
  <c r="T43" i="8"/>
  <c r="K47" i="8" s="1"/>
  <c r="T37" i="7"/>
  <c r="J41" i="7" s="1"/>
  <c r="R111" i="8"/>
  <c r="K115" i="8" s="1"/>
  <c r="R105" i="7"/>
  <c r="J109" i="7" s="1"/>
  <c r="CZ341" i="1"/>
  <c r="Y341" i="1" s="1"/>
  <c r="CZ514" i="1"/>
  <c r="Y514" i="1" s="1"/>
  <c r="J241" i="7"/>
  <c r="K247" i="8"/>
  <c r="CY514" i="1"/>
  <c r="X514" i="1" s="1"/>
  <c r="CZ533" i="1"/>
  <c r="Y533" i="1" s="1"/>
  <c r="J326" i="7"/>
  <c r="K332" i="8"/>
  <c r="CY533" i="1"/>
  <c r="X533" i="1" s="1"/>
  <c r="R37" i="7"/>
  <c r="J40" i="7" s="1"/>
  <c r="I43" i="7" s="1"/>
  <c r="R43" i="8"/>
  <c r="K46" i="8" s="1"/>
  <c r="GM271" i="1"/>
  <c r="GP271" i="1" s="1"/>
  <c r="AF344" i="1"/>
  <c r="K58" i="8"/>
  <c r="J52" i="7"/>
  <c r="CZ668" i="1"/>
  <c r="Y668" i="1" s="1"/>
  <c r="J500" i="7"/>
  <c r="K506" i="8"/>
  <c r="R519" i="1"/>
  <c r="GK519" i="1" s="1"/>
  <c r="V267" i="8"/>
  <c r="V261" i="7"/>
  <c r="R119" i="1"/>
  <c r="V94" i="8"/>
  <c r="K101" i="8" s="1"/>
  <c r="V88" i="7"/>
  <c r="J95" i="7" s="1"/>
  <c r="T357" i="8"/>
  <c r="K362" i="8" s="1"/>
  <c r="T351" i="7"/>
  <c r="J356" i="7" s="1"/>
  <c r="J49" i="8"/>
  <c r="CZ569" i="1"/>
  <c r="Y569" i="1" s="1"/>
  <c r="K343" i="8"/>
  <c r="J337" i="7"/>
  <c r="CZ663" i="1"/>
  <c r="Y663" i="1" s="1"/>
  <c r="K217" i="8"/>
  <c r="J211" i="7"/>
  <c r="CY120" i="1"/>
  <c r="X120" i="1" s="1"/>
  <c r="K106" i="8"/>
  <c r="J100" i="7"/>
  <c r="DH2" i="3"/>
  <c r="GM574" i="1"/>
  <c r="GP574" i="1" s="1"/>
  <c r="AF124" i="1"/>
  <c r="S124" i="1" s="1"/>
  <c r="GM521" i="1"/>
  <c r="GP521" i="1" s="1"/>
  <c r="CJ339" i="1"/>
  <c r="AF426" i="1"/>
  <c r="AF410" i="1" s="1"/>
  <c r="AW78" i="1"/>
  <c r="CF71" i="1"/>
  <c r="T400" i="7"/>
  <c r="J405" i="7" s="1"/>
  <c r="T406" i="8"/>
  <c r="K411" i="8" s="1"/>
  <c r="T395" i="8"/>
  <c r="K402" i="8" s="1"/>
  <c r="T389" i="7"/>
  <c r="J396" i="7" s="1"/>
  <c r="I399" i="7" s="1"/>
  <c r="R517" i="1"/>
  <c r="GK517" i="1" s="1"/>
  <c r="V253" i="7"/>
  <c r="V259" i="8"/>
  <c r="R533" i="1"/>
  <c r="GK533" i="1" s="1"/>
  <c r="V330" i="8"/>
  <c r="V324" i="7"/>
  <c r="J436" i="7"/>
  <c r="K442" i="8"/>
  <c r="CP520" i="1"/>
  <c r="O520" i="1" s="1"/>
  <c r="F444" i="1"/>
  <c r="CZ35" i="1"/>
  <c r="Y35" i="1" s="1"/>
  <c r="CP506" i="1"/>
  <c r="O506" i="1" s="1"/>
  <c r="K218" i="8"/>
  <c r="J212" i="7"/>
  <c r="AY273" i="1"/>
  <c r="CP615" i="1"/>
  <c r="O615" i="1" s="1"/>
  <c r="GM615" i="1" s="1"/>
  <c r="GP615" i="1" s="1"/>
  <c r="AQ673" i="1"/>
  <c r="AQ651" i="1" s="1"/>
  <c r="K529" i="8"/>
  <c r="J523" i="7"/>
  <c r="R36" i="1"/>
  <c r="V57" i="8"/>
  <c r="K64" i="8" s="1"/>
  <c r="V51" i="7"/>
  <c r="J58" i="7" s="1"/>
  <c r="CP342" i="1"/>
  <c r="O342" i="1" s="1"/>
  <c r="GM342" i="1" s="1"/>
  <c r="GP342" i="1" s="1"/>
  <c r="F239" i="1"/>
  <c r="AD39" i="1"/>
  <c r="AD30" i="1" s="1"/>
  <c r="J53" i="7"/>
  <c r="K59" i="8"/>
  <c r="F206" i="1"/>
  <c r="CZ412" i="1"/>
  <c r="Y412" i="1" s="1"/>
  <c r="K96" i="8"/>
  <c r="J90" i="7"/>
  <c r="AO231" i="1"/>
  <c r="CZ506" i="1"/>
  <c r="Y506" i="1" s="1"/>
  <c r="K200" i="8"/>
  <c r="J194" i="7"/>
  <c r="CY671" i="1"/>
  <c r="X671" i="1" s="1"/>
  <c r="AG673" i="1"/>
  <c r="T673" i="1" s="1"/>
  <c r="T316" i="7"/>
  <c r="J321" i="7" s="1"/>
  <c r="T322" i="8"/>
  <c r="K327" i="8" s="1"/>
  <c r="K467" i="8"/>
  <c r="J461" i="7"/>
  <c r="R118" i="1"/>
  <c r="AE124" i="1" s="1"/>
  <c r="V77" i="7"/>
  <c r="J85" i="7" s="1"/>
  <c r="V83" i="8"/>
  <c r="K91" i="8" s="1"/>
  <c r="R357" i="8"/>
  <c r="K361" i="8" s="1"/>
  <c r="R351" i="7"/>
  <c r="J355" i="7" s="1"/>
  <c r="V198" i="8"/>
  <c r="V192" i="7"/>
  <c r="R505" i="7"/>
  <c r="J509" i="7" s="1"/>
  <c r="R511" i="8"/>
  <c r="K515" i="8" s="1"/>
  <c r="W231" i="1"/>
  <c r="F259" i="1"/>
  <c r="T111" i="8"/>
  <c r="K116" i="8" s="1"/>
  <c r="T105" i="7"/>
  <c r="J110" i="7" s="1"/>
  <c r="K448" i="7"/>
  <c r="L454" i="8"/>
  <c r="CP666" i="1"/>
  <c r="O666" i="1" s="1"/>
  <c r="J493" i="7"/>
  <c r="K499" i="8"/>
  <c r="R515" i="1"/>
  <c r="GK515" i="1" s="1"/>
  <c r="GM515" i="1" s="1"/>
  <c r="GP515" i="1" s="1"/>
  <c r="V252" i="8"/>
  <c r="V246" i="7"/>
  <c r="R253" i="7"/>
  <c r="J257" i="7" s="1"/>
  <c r="R259" i="8"/>
  <c r="K263" i="8" s="1"/>
  <c r="J262" i="7"/>
  <c r="K268" i="8"/>
  <c r="K76" i="8"/>
  <c r="J70" i="7"/>
  <c r="GK117" i="1"/>
  <c r="K173" i="8"/>
  <c r="J167" i="7"/>
  <c r="T428" i="8"/>
  <c r="K432" i="8" s="1"/>
  <c r="T422" i="7"/>
  <c r="J426" i="7" s="1"/>
  <c r="CE267" i="1"/>
  <c r="CP36" i="1"/>
  <c r="O36" i="1" s="1"/>
  <c r="K61" i="8"/>
  <c r="J55" i="7"/>
  <c r="R569" i="1"/>
  <c r="GK569" i="1" s="1"/>
  <c r="V342" i="8"/>
  <c r="V336" i="7"/>
  <c r="BY492" i="1"/>
  <c r="K261" i="8"/>
  <c r="J266" i="8" s="1"/>
  <c r="J255" i="7"/>
  <c r="DH49" i="3"/>
  <c r="R423" i="1"/>
  <c r="V165" i="7"/>
  <c r="J172" i="7" s="1"/>
  <c r="V171" i="8"/>
  <c r="K178" i="8" s="1"/>
  <c r="R246" i="7"/>
  <c r="J249" i="7" s="1"/>
  <c r="R252" i="8"/>
  <c r="K255" i="8" s="1"/>
  <c r="J258" i="8" s="1"/>
  <c r="K466" i="8"/>
  <c r="J460" i="7"/>
  <c r="O156" i="1"/>
  <c r="F164" i="1"/>
  <c r="CZ661" i="1"/>
  <c r="Y661" i="1" s="1"/>
  <c r="K474" i="8"/>
  <c r="J468" i="7"/>
  <c r="CY661" i="1"/>
  <c r="X661" i="1" s="1"/>
  <c r="DG49" i="3"/>
  <c r="T39" i="1"/>
  <c r="T30" i="1" s="1"/>
  <c r="T246" i="7"/>
  <c r="J250" i="7" s="1"/>
  <c r="T252" i="8"/>
  <c r="K256" i="8" s="1"/>
  <c r="CZ36" i="1"/>
  <c r="Y36" i="1" s="1"/>
  <c r="DI2" i="3"/>
  <c r="DJ2" i="3" s="1"/>
  <c r="CP503" i="1"/>
  <c r="O503" i="1" s="1"/>
  <c r="GM503" i="1" s="1"/>
  <c r="GP503" i="1" s="1"/>
  <c r="K210" i="8"/>
  <c r="J204" i="7"/>
  <c r="AQ267" i="1"/>
  <c r="F283" i="1"/>
  <c r="K192" i="8"/>
  <c r="J186" i="7"/>
  <c r="R71" i="1"/>
  <c r="F92" i="1"/>
  <c r="AD535" i="1"/>
  <c r="R510" i="1"/>
  <c r="GK510" i="1" s="1"/>
  <c r="V224" i="7"/>
  <c r="V230" i="8"/>
  <c r="T309" i="8"/>
  <c r="K312" i="8" s="1"/>
  <c r="T303" i="7"/>
  <c r="J306" i="7" s="1"/>
  <c r="AH673" i="1"/>
  <c r="L470" i="8"/>
  <c r="K464" i="7"/>
  <c r="CZ512" i="1"/>
  <c r="Y512" i="1" s="1"/>
  <c r="GK611" i="1"/>
  <c r="GM611" i="1" s="1"/>
  <c r="K399" i="8"/>
  <c r="J393" i="7"/>
  <c r="F80" i="1"/>
  <c r="AH535" i="1"/>
  <c r="K230" i="7"/>
  <c r="L236" i="8"/>
  <c r="AU267" i="1"/>
  <c r="K157" i="8"/>
  <c r="J151" i="7"/>
  <c r="J445" i="7"/>
  <c r="K451" i="8"/>
  <c r="V413" i="1"/>
  <c r="J268" i="7"/>
  <c r="K274" i="8"/>
  <c r="K88" i="8"/>
  <c r="J82" i="7"/>
  <c r="CZ616" i="1"/>
  <c r="Y616" i="1" s="1"/>
  <c r="K422" i="8"/>
  <c r="J416" i="7"/>
  <c r="CY572" i="1"/>
  <c r="X572" i="1" s="1"/>
  <c r="K366" i="8"/>
  <c r="J360" i="7"/>
  <c r="J297" i="7"/>
  <c r="K303" i="8"/>
  <c r="GM35" i="1"/>
  <c r="GP35" i="1" s="1"/>
  <c r="CP117" i="1"/>
  <c r="O117" i="1" s="1"/>
  <c r="AT673" i="1"/>
  <c r="BZ410" i="1"/>
  <c r="AQ426" i="1"/>
  <c r="CG426" i="1"/>
  <c r="CY159" i="1"/>
  <c r="X159" i="1" s="1"/>
  <c r="CZ159" i="1"/>
  <c r="Y159" i="1" s="1"/>
  <c r="K113" i="8"/>
  <c r="J107" i="7"/>
  <c r="CZ233" i="1"/>
  <c r="Y233" i="1" s="1"/>
  <c r="CY233" i="1"/>
  <c r="X233" i="1" s="1"/>
  <c r="DF41" i="3"/>
  <c r="CY117" i="1"/>
  <c r="X117" i="1" s="1"/>
  <c r="AW194" i="1"/>
  <c r="CY569" i="1"/>
  <c r="X569" i="1" s="1"/>
  <c r="CP572" i="1"/>
  <c r="O572" i="1" s="1"/>
  <c r="AB577" i="1" s="1"/>
  <c r="J361" i="7"/>
  <c r="K367" i="8"/>
  <c r="R670" i="1"/>
  <c r="GK670" i="1" s="1"/>
  <c r="V513" i="7"/>
  <c r="V519" i="8"/>
  <c r="AF577" i="1"/>
  <c r="AF567" i="1" s="1"/>
  <c r="L446" i="8"/>
  <c r="K440" i="7"/>
  <c r="F171" i="1"/>
  <c r="AP156" i="1"/>
  <c r="CZ117" i="1"/>
  <c r="Y117" i="1" s="1"/>
  <c r="T83" i="8"/>
  <c r="K90" i="8" s="1"/>
  <c r="T77" i="7"/>
  <c r="J84" i="7" s="1"/>
  <c r="R575" i="1"/>
  <c r="V374" i="7"/>
  <c r="J381" i="7" s="1"/>
  <c r="V380" i="8"/>
  <c r="K387" i="8" s="1"/>
  <c r="GM32" i="1"/>
  <c r="GP32" i="1" s="1"/>
  <c r="R514" i="1"/>
  <c r="GK514" i="1" s="1"/>
  <c r="V240" i="7"/>
  <c r="V246" i="8"/>
  <c r="R520" i="1"/>
  <c r="GK520" i="1" s="1"/>
  <c r="V267" i="7"/>
  <c r="V273" i="8"/>
  <c r="R349" i="8"/>
  <c r="K353" i="8" s="1"/>
  <c r="J356" i="8" s="1"/>
  <c r="R343" i="7"/>
  <c r="J347" i="7" s="1"/>
  <c r="I350" i="7" s="1"/>
  <c r="P413" i="1"/>
  <c r="CP413" i="1" s="1"/>
  <c r="O413" i="1" s="1"/>
  <c r="GM413" i="1" s="1"/>
  <c r="GP413" i="1" s="1"/>
  <c r="CP656" i="1"/>
  <c r="O656" i="1" s="1"/>
  <c r="GM656" i="1" s="1"/>
  <c r="GP656" i="1" s="1"/>
  <c r="L502" i="8"/>
  <c r="K496" i="7"/>
  <c r="CP412" i="1"/>
  <c r="O412" i="1" s="1"/>
  <c r="GM412" i="1" s="1"/>
  <c r="GP412" i="1" s="1"/>
  <c r="AF673" i="1"/>
  <c r="R617" i="1"/>
  <c r="GK617" i="1" s="1"/>
  <c r="V422" i="7"/>
  <c r="V428" i="8"/>
  <c r="R661" i="1"/>
  <c r="GK661" i="1" s="1"/>
  <c r="V466" i="7"/>
  <c r="V472" i="8"/>
  <c r="K430" i="8"/>
  <c r="J424" i="7"/>
  <c r="CZ664" i="1"/>
  <c r="Y664" i="1" s="1"/>
  <c r="GM664" i="1" s="1"/>
  <c r="GP664" i="1" s="1"/>
  <c r="K490" i="8"/>
  <c r="J484" i="7"/>
  <c r="U413" i="1"/>
  <c r="AZ273" i="1"/>
  <c r="CI267" i="1"/>
  <c r="CP269" i="1"/>
  <c r="O269" i="1" s="1"/>
  <c r="GM513" i="1"/>
  <c r="GP513" i="1" s="1"/>
  <c r="CY519" i="1"/>
  <c r="X519" i="1" s="1"/>
  <c r="CP658" i="1"/>
  <c r="O658" i="1" s="1"/>
  <c r="GM658" i="1" s="1"/>
  <c r="GP658" i="1" s="1"/>
  <c r="CZ653" i="1"/>
  <c r="Y653" i="1" s="1"/>
  <c r="J247" i="7"/>
  <c r="K253" i="8"/>
  <c r="DI126" i="3"/>
  <c r="DJ126" i="3" s="1"/>
  <c r="DH126" i="3"/>
  <c r="CZ73" i="1"/>
  <c r="Y73" i="1" s="1"/>
  <c r="L244" i="8"/>
  <c r="K238" i="7"/>
  <c r="CY506" i="1"/>
  <c r="X506" i="1" s="1"/>
  <c r="T374" i="7"/>
  <c r="J380" i="7" s="1"/>
  <c r="T380" i="8"/>
  <c r="K386" i="8" s="1"/>
  <c r="CZ671" i="1"/>
  <c r="Y671" i="1" s="1"/>
  <c r="CP616" i="1"/>
  <c r="O616" i="1" s="1"/>
  <c r="J417" i="7"/>
  <c r="K423" i="8"/>
  <c r="R322" i="8"/>
  <c r="K326" i="8" s="1"/>
  <c r="R316" i="7"/>
  <c r="J320" i="7" s="1"/>
  <c r="BA619" i="1"/>
  <c r="BA609" i="1" s="1"/>
  <c r="K408" i="8"/>
  <c r="J402" i="7"/>
  <c r="I407" i="7" s="1"/>
  <c r="CY670" i="1"/>
  <c r="X670" i="1" s="1"/>
  <c r="J515" i="7"/>
  <c r="K521" i="8"/>
  <c r="V162" i="8"/>
  <c r="K168" i="8" s="1"/>
  <c r="V156" i="7"/>
  <c r="J162" i="7" s="1"/>
  <c r="R421" i="1"/>
  <c r="R120" i="1"/>
  <c r="GK120" i="1" s="1"/>
  <c r="V104" i="8"/>
  <c r="V98" i="7"/>
  <c r="AD344" i="1"/>
  <c r="Q344" i="1" s="1"/>
  <c r="K132" i="8"/>
  <c r="J126" i="7"/>
  <c r="J201" i="7"/>
  <c r="K207" i="8"/>
  <c r="K208" i="8"/>
  <c r="J202" i="7"/>
  <c r="GM667" i="1"/>
  <c r="GP667" i="1" s="1"/>
  <c r="J125" i="7"/>
  <c r="K131" i="8"/>
  <c r="R529" i="1"/>
  <c r="GK529" i="1" s="1"/>
  <c r="V309" i="8"/>
  <c r="V303" i="7"/>
  <c r="R668" i="1"/>
  <c r="GK668" i="1" s="1"/>
  <c r="GM668" i="1" s="1"/>
  <c r="GP668" i="1" s="1"/>
  <c r="V504" i="8"/>
  <c r="V498" i="7"/>
  <c r="GM573" i="1"/>
  <c r="GP573" i="1" s="1"/>
  <c r="R671" i="1"/>
  <c r="GK671" i="1" s="1"/>
  <c r="V521" i="7"/>
  <c r="V527" i="8"/>
  <c r="K482" i="8"/>
  <c r="J476" i="7"/>
  <c r="DH64" i="3"/>
  <c r="DI64" i="3"/>
  <c r="DJ64" i="3" s="1"/>
  <c r="CY522" i="1"/>
  <c r="X522" i="1" s="1"/>
  <c r="T366" i="7"/>
  <c r="J371" i="7" s="1"/>
  <c r="T372" i="8"/>
  <c r="K377" i="8" s="1"/>
  <c r="L55" i="8"/>
  <c r="K49" i="7"/>
  <c r="J91" i="7"/>
  <c r="K97" i="8"/>
  <c r="AJ535" i="1"/>
  <c r="AJ492" i="1" s="1"/>
  <c r="CP533" i="1"/>
  <c r="O533" i="1" s="1"/>
  <c r="R653" i="1"/>
  <c r="V434" i="7"/>
  <c r="V440" i="8"/>
  <c r="CP663" i="1"/>
  <c r="O663" i="1" s="1"/>
  <c r="GM663" i="1" s="1"/>
  <c r="GP663" i="1" s="1"/>
  <c r="J477" i="7"/>
  <c r="K483" i="8"/>
  <c r="R191" i="8"/>
  <c r="K194" i="8" s="1"/>
  <c r="R185" i="7"/>
  <c r="J188" i="7" s="1"/>
  <c r="L81" i="8"/>
  <c r="K75" i="7"/>
  <c r="CP514" i="1"/>
  <c r="O514" i="1" s="1"/>
  <c r="AD577" i="1"/>
  <c r="Q577" i="1" s="1"/>
  <c r="R614" i="1"/>
  <c r="GK614" i="1" s="1"/>
  <c r="V406" i="8"/>
  <c r="V400" i="7"/>
  <c r="J354" i="7"/>
  <c r="K360" i="8"/>
  <c r="CP159" i="1"/>
  <c r="O159" i="1" s="1"/>
  <c r="GM159" i="1" s="1"/>
  <c r="GP159" i="1" s="1"/>
  <c r="U231" i="1"/>
  <c r="F257" i="1"/>
  <c r="CY512" i="1"/>
  <c r="X512" i="1" s="1"/>
  <c r="J229" i="8"/>
  <c r="J127" i="7"/>
  <c r="K133" i="8"/>
  <c r="AC344" i="1"/>
  <c r="R616" i="1"/>
  <c r="GK616" i="1" s="1"/>
  <c r="V421" i="8"/>
  <c r="V415" i="7"/>
  <c r="S71" i="1"/>
  <c r="F93" i="1"/>
  <c r="CY36" i="1"/>
  <c r="X36" i="1" s="1"/>
  <c r="T288" i="8"/>
  <c r="K291" i="8" s="1"/>
  <c r="T282" i="7"/>
  <c r="J285" i="7" s="1"/>
  <c r="T619" i="1"/>
  <c r="CZ120" i="1"/>
  <c r="Y120" i="1" s="1"/>
  <c r="GM524" i="1"/>
  <c r="GP524" i="1" s="1"/>
  <c r="R288" i="8"/>
  <c r="K290" i="8" s="1"/>
  <c r="J293" i="8" s="1"/>
  <c r="R282" i="7"/>
  <c r="J284" i="7" s="1"/>
  <c r="I287" i="7" s="1"/>
  <c r="R309" i="8"/>
  <c r="K311" i="8" s="1"/>
  <c r="J314" i="8" s="1"/>
  <c r="R303" i="7"/>
  <c r="J305" i="7" s="1"/>
  <c r="R572" i="1"/>
  <c r="GK572" i="1" s="1"/>
  <c r="V365" i="8"/>
  <c r="V359" i="7"/>
  <c r="GM665" i="1"/>
  <c r="GP665" i="1" s="1"/>
  <c r="K475" i="8"/>
  <c r="J469" i="7"/>
  <c r="K526" i="7"/>
  <c r="L532" i="8"/>
  <c r="K163" i="8"/>
  <c r="J157" i="7"/>
  <c r="S194" i="1"/>
  <c r="F214" i="1"/>
  <c r="DG41" i="3"/>
  <c r="R121" i="1"/>
  <c r="GK121" i="1" s="1"/>
  <c r="GM121" i="1" s="1"/>
  <c r="GP121" i="1" s="1"/>
  <c r="V105" i="7"/>
  <c r="V111" i="8"/>
  <c r="GM669" i="1"/>
  <c r="GP669" i="1" s="1"/>
  <c r="K498" i="8"/>
  <c r="J492" i="7"/>
  <c r="CY666" i="1"/>
  <c r="X666" i="1" s="1"/>
  <c r="CZ666" i="1"/>
  <c r="Y666" i="1" s="1"/>
  <c r="V464" i="8"/>
  <c r="V458" i="7"/>
  <c r="CY525" i="1"/>
  <c r="X525" i="1" s="1"/>
  <c r="K295" i="8"/>
  <c r="J289" i="7"/>
  <c r="GM420" i="1"/>
  <c r="GP420" i="1" s="1"/>
  <c r="K398" i="8"/>
  <c r="J392" i="7"/>
  <c r="R406" i="8"/>
  <c r="K410" i="8" s="1"/>
  <c r="R400" i="7"/>
  <c r="J404" i="7" s="1"/>
  <c r="I148" i="7"/>
  <c r="J166" i="7"/>
  <c r="K172" i="8"/>
  <c r="V231" i="1"/>
  <c r="F258" i="1"/>
  <c r="CP73" i="1"/>
  <c r="O73" i="1" s="1"/>
  <c r="GM73" i="1" s="1"/>
  <c r="GP73" i="1" s="1"/>
  <c r="CZ503" i="1"/>
  <c r="Y503" i="1" s="1"/>
  <c r="T349" i="8"/>
  <c r="K354" i="8" s="1"/>
  <c r="T343" i="7"/>
  <c r="J348" i="7" s="1"/>
  <c r="CY615" i="1"/>
  <c r="X615" i="1" s="1"/>
  <c r="K415" i="8"/>
  <c r="J409" i="7"/>
  <c r="R418" i="1"/>
  <c r="GK418" i="1" s="1"/>
  <c r="V155" i="8"/>
  <c r="V149" i="7"/>
  <c r="R83" i="8"/>
  <c r="K89" i="8" s="1"/>
  <c r="R77" i="7"/>
  <c r="J83" i="7" s="1"/>
  <c r="CP655" i="1"/>
  <c r="O655" i="1" s="1"/>
  <c r="R148" i="8"/>
  <c r="K151" i="8" s="1"/>
  <c r="J154" i="8" s="1"/>
  <c r="R142" i="7"/>
  <c r="J145" i="7" s="1"/>
  <c r="AP267" i="1"/>
  <c r="F282" i="1"/>
  <c r="T217" i="7"/>
  <c r="J221" i="7" s="1"/>
  <c r="T223" i="8"/>
  <c r="K227" i="8" s="1"/>
  <c r="CY35" i="1"/>
  <c r="X35" i="1" s="1"/>
  <c r="AK39" i="1" s="1"/>
  <c r="CP233" i="1"/>
  <c r="O233" i="1" s="1"/>
  <c r="GM233" i="1" s="1"/>
  <c r="GP233" i="1" s="1"/>
  <c r="CY527" i="1"/>
  <c r="X527" i="1" s="1"/>
  <c r="R615" i="1"/>
  <c r="GK615" i="1" s="1"/>
  <c r="V414" i="8"/>
  <c r="V408" i="7"/>
  <c r="K233" i="8"/>
  <c r="J227" i="7"/>
  <c r="K85" i="8"/>
  <c r="J79" i="7"/>
  <c r="I323" i="7"/>
  <c r="CP529" i="1"/>
  <c r="O529" i="1" s="1"/>
  <c r="GM529" i="1" s="1"/>
  <c r="GP529" i="1" s="1"/>
  <c r="DF64" i="3"/>
  <c r="J80" i="7"/>
  <c r="K86" i="8"/>
  <c r="CZ421" i="1"/>
  <c r="Y421" i="1" s="1"/>
  <c r="R374" i="7"/>
  <c r="J379" i="7" s="1"/>
  <c r="R380" i="8"/>
  <c r="K385" i="8" s="1"/>
  <c r="R341" i="1"/>
  <c r="V129" i="8"/>
  <c r="V123" i="7"/>
  <c r="T505" i="7"/>
  <c r="J510" i="7" s="1"/>
  <c r="T511" i="8"/>
  <c r="K516" i="8" s="1"/>
  <c r="R571" i="1"/>
  <c r="GK571" i="1" s="1"/>
  <c r="V357" i="8"/>
  <c r="V351" i="7"/>
  <c r="T513" i="7"/>
  <c r="J518" i="7" s="1"/>
  <c r="T519" i="8"/>
  <c r="K524" i="8" s="1"/>
  <c r="CY617" i="1"/>
  <c r="X617" i="1" s="1"/>
  <c r="K429" i="8"/>
  <c r="J423" i="7"/>
  <c r="BC71" i="1"/>
  <c r="F94" i="1"/>
  <c r="AH492" i="1"/>
  <c r="U535" i="1"/>
  <c r="AD492" i="1"/>
  <c r="Q535" i="1"/>
  <c r="AH651" i="1"/>
  <c r="U673" i="1"/>
  <c r="AO488" i="1"/>
  <c r="F707" i="1"/>
  <c r="Q39" i="1"/>
  <c r="F177" i="1"/>
  <c r="S156" i="1"/>
  <c r="DF63" i="3"/>
  <c r="DI63" i="3"/>
  <c r="DJ63" i="3" s="1"/>
  <c r="DG63" i="3"/>
  <c r="DH63" i="3"/>
  <c r="CC567" i="1"/>
  <c r="AT577" i="1"/>
  <c r="U577" i="1"/>
  <c r="AH567" i="1"/>
  <c r="CZ659" i="1"/>
  <c r="Y659" i="1" s="1"/>
  <c r="CY659" i="1"/>
  <c r="X659" i="1" s="1"/>
  <c r="AK673" i="1" s="1"/>
  <c r="CP661" i="1"/>
  <c r="O661" i="1" s="1"/>
  <c r="GM661" i="1" s="1"/>
  <c r="GP661" i="1" s="1"/>
  <c r="DH44" i="3"/>
  <c r="DF44" i="3"/>
  <c r="DG44" i="3"/>
  <c r="DI44" i="3"/>
  <c r="DJ44" i="3" s="1"/>
  <c r="DF54" i="3"/>
  <c r="DJ54" i="3" s="1"/>
  <c r="DG54" i="3"/>
  <c r="DH54" i="3"/>
  <c r="DI54" i="3"/>
  <c r="DG123" i="3"/>
  <c r="DF123" i="3"/>
  <c r="DJ123" i="3" s="1"/>
  <c r="DH123" i="3"/>
  <c r="DI123" i="3"/>
  <c r="DF86" i="3"/>
  <c r="DJ86" i="3" s="1"/>
  <c r="DG86" i="3"/>
  <c r="DH86" i="3"/>
  <c r="DI86" i="3"/>
  <c r="CY119" i="1"/>
  <c r="X119" i="1" s="1"/>
  <c r="CZ119" i="1"/>
  <c r="Y119" i="1" s="1"/>
  <c r="GM498" i="1"/>
  <c r="F287" i="1"/>
  <c r="R267" i="1"/>
  <c r="GM572" i="1"/>
  <c r="GP572" i="1" s="1"/>
  <c r="BD492" i="1"/>
  <c r="F560" i="1"/>
  <c r="BD703" i="1"/>
  <c r="O267" i="1"/>
  <c r="F275" i="1"/>
  <c r="F222" i="1"/>
  <c r="V194" i="1"/>
  <c r="DI145" i="3"/>
  <c r="DF145" i="3"/>
  <c r="DJ145" i="3" s="1"/>
  <c r="DG145" i="3"/>
  <c r="DH145" i="3"/>
  <c r="DF15" i="3"/>
  <c r="DG15" i="3"/>
  <c r="DH15" i="3"/>
  <c r="DI15" i="3"/>
  <c r="DJ15" i="3" s="1"/>
  <c r="DF14" i="3"/>
  <c r="DJ14" i="3" s="1"/>
  <c r="DG14" i="3"/>
  <c r="DH14" i="3"/>
  <c r="DI14" i="3"/>
  <c r="F366" i="1"/>
  <c r="U374" i="1"/>
  <c r="U339" i="1"/>
  <c r="DH84" i="3"/>
  <c r="DI84" i="3"/>
  <c r="DJ84" i="3" s="1"/>
  <c r="DF84" i="3"/>
  <c r="DG84" i="3"/>
  <c r="DG73" i="3"/>
  <c r="DI73" i="3"/>
  <c r="DF73" i="3"/>
  <c r="DJ73" i="3" s="1"/>
  <c r="DH73" i="3"/>
  <c r="BD335" i="1"/>
  <c r="F399" i="1"/>
  <c r="DF146" i="3"/>
  <c r="DJ146" i="3" s="1"/>
  <c r="DG146" i="3"/>
  <c r="DH146" i="3"/>
  <c r="DI146" i="3"/>
  <c r="BA567" i="1"/>
  <c r="F597" i="1"/>
  <c r="GM671" i="1"/>
  <c r="GP671" i="1" s="1"/>
  <c r="DF69" i="3"/>
  <c r="DG69" i="3"/>
  <c r="DJ69" i="3" s="1"/>
  <c r="DH69" i="3"/>
  <c r="DI69" i="3"/>
  <c r="AS124" i="1"/>
  <c r="AS303" i="1" s="1"/>
  <c r="CB110" i="1"/>
  <c r="CY197" i="1"/>
  <c r="X197" i="1" s="1"/>
  <c r="GM197" i="1" s="1"/>
  <c r="GP197" i="1" s="1"/>
  <c r="CZ197" i="1"/>
  <c r="Y197" i="1" s="1"/>
  <c r="F96" i="1"/>
  <c r="AT71" i="1"/>
  <c r="DF74" i="3"/>
  <c r="DJ74" i="3" s="1"/>
  <c r="DG74" i="3"/>
  <c r="DH74" i="3"/>
  <c r="DI74" i="3"/>
  <c r="DF108" i="3"/>
  <c r="DG108" i="3"/>
  <c r="DH108" i="3"/>
  <c r="DI108" i="3"/>
  <c r="DJ108" i="3" s="1"/>
  <c r="CP270" i="1"/>
  <c r="O270" i="1" s="1"/>
  <c r="GM270" i="1" s="1"/>
  <c r="GP270" i="1" s="1"/>
  <c r="BA426" i="1"/>
  <c r="CJ410" i="1"/>
  <c r="CP518" i="1"/>
  <c r="O518" i="1" s="1"/>
  <c r="GM518" i="1" s="1"/>
  <c r="GP518" i="1" s="1"/>
  <c r="CH231" i="1"/>
  <c r="AY235" i="1"/>
  <c r="F361" i="1"/>
  <c r="AS374" i="1"/>
  <c r="AS339" i="1"/>
  <c r="GM504" i="1"/>
  <c r="GP504" i="1" s="1"/>
  <c r="CC609" i="1"/>
  <c r="AT619" i="1"/>
  <c r="GM570" i="1"/>
  <c r="GP570" i="1" s="1"/>
  <c r="CP612" i="1"/>
  <c r="O612" i="1" s="1"/>
  <c r="DG8" i="3"/>
  <c r="DH8" i="3"/>
  <c r="DI8" i="3"/>
  <c r="DJ8" i="3" s="1"/>
  <c r="DF8" i="3"/>
  <c r="DH62" i="3"/>
  <c r="DI62" i="3"/>
  <c r="DF62" i="3"/>
  <c r="DJ62" i="3" s="1"/>
  <c r="DG62" i="3"/>
  <c r="AV162" i="1"/>
  <c r="CE156" i="1"/>
  <c r="F106" i="1"/>
  <c r="AR71" i="1"/>
  <c r="F182" i="1"/>
  <c r="BA156" i="1"/>
  <c r="AJ110" i="1"/>
  <c r="W124" i="1"/>
  <c r="BY110" i="1"/>
  <c r="AP124" i="1"/>
  <c r="CI124" i="1"/>
  <c r="DF21" i="3"/>
  <c r="DJ21" i="3" s="1"/>
  <c r="DH21" i="3"/>
  <c r="DI21" i="3"/>
  <c r="DG21" i="3"/>
  <c r="DF109" i="3"/>
  <c r="DJ109" i="3" s="1"/>
  <c r="DI109" i="3"/>
  <c r="DG109" i="3"/>
  <c r="DH109" i="3"/>
  <c r="CP512" i="1"/>
  <c r="O512" i="1" s="1"/>
  <c r="AT535" i="1"/>
  <c r="CC492" i="1"/>
  <c r="CF231" i="1"/>
  <c r="AW235" i="1"/>
  <c r="AC619" i="1"/>
  <c r="CP614" i="1"/>
  <c r="O614" i="1" s="1"/>
  <c r="DF10" i="3"/>
  <c r="DG10" i="3"/>
  <c r="DH10" i="3"/>
  <c r="DI10" i="3"/>
  <c r="DJ10" i="3" s="1"/>
  <c r="DF37" i="3"/>
  <c r="DG37" i="3"/>
  <c r="DJ37" i="3" s="1"/>
  <c r="DH37" i="3"/>
  <c r="DI37" i="3"/>
  <c r="DG43" i="3"/>
  <c r="DI43" i="3"/>
  <c r="DJ43" i="3" s="1"/>
  <c r="DH43" i="3"/>
  <c r="DF43" i="3"/>
  <c r="BA267" i="1"/>
  <c r="F293" i="1"/>
  <c r="AL124" i="1"/>
  <c r="T231" i="1"/>
  <c r="F256" i="1"/>
  <c r="BD410" i="1"/>
  <c r="F451" i="1"/>
  <c r="BD456" i="1"/>
  <c r="AS535" i="1"/>
  <c r="CB492" i="1"/>
  <c r="AQ110" i="1"/>
  <c r="F134" i="1"/>
  <c r="CE231" i="1"/>
  <c r="AV235" i="1"/>
  <c r="DF111" i="3"/>
  <c r="DH111" i="3"/>
  <c r="DI111" i="3"/>
  <c r="DJ111" i="3" s="1"/>
  <c r="DG111" i="3"/>
  <c r="GM414" i="1"/>
  <c r="GP414" i="1" s="1"/>
  <c r="T410" i="1"/>
  <c r="F447" i="1"/>
  <c r="T456" i="1"/>
  <c r="AT335" i="1"/>
  <c r="F392" i="1"/>
  <c r="CY510" i="1"/>
  <c r="X510" i="1" s="1"/>
  <c r="CZ510" i="1"/>
  <c r="Y510" i="1" s="1"/>
  <c r="CE124" i="1"/>
  <c r="P124" i="1"/>
  <c r="CF124" i="1"/>
  <c r="AC110" i="1"/>
  <c r="CH124" i="1"/>
  <c r="AF651" i="1"/>
  <c r="S673" i="1"/>
  <c r="P577" i="1"/>
  <c r="CF577" i="1"/>
  <c r="CH577" i="1"/>
  <c r="CE577" i="1"/>
  <c r="AC567" i="1"/>
  <c r="F640" i="1"/>
  <c r="T609" i="1"/>
  <c r="F180" i="1"/>
  <c r="AT156" i="1"/>
  <c r="F181" i="1"/>
  <c r="AU156" i="1"/>
  <c r="AH30" i="1"/>
  <c r="U39" i="1"/>
  <c r="DF93" i="3"/>
  <c r="DG93" i="3"/>
  <c r="DJ93" i="3" s="1"/>
  <c r="DH93" i="3"/>
  <c r="DI93" i="3"/>
  <c r="F59" i="1"/>
  <c r="BA30" i="1"/>
  <c r="BA303" i="1"/>
  <c r="DF18" i="3"/>
  <c r="DJ18" i="3" s="1"/>
  <c r="DG18" i="3"/>
  <c r="DH18" i="3"/>
  <c r="DI18" i="3"/>
  <c r="AO456" i="1"/>
  <c r="AO410" i="1"/>
  <c r="F430" i="1"/>
  <c r="BC335" i="1"/>
  <c r="F390" i="1"/>
  <c r="CG110" i="1"/>
  <c r="AX124" i="1"/>
  <c r="AQ577" i="1"/>
  <c r="BZ567" i="1"/>
  <c r="CG577" i="1"/>
  <c r="P231" i="1"/>
  <c r="F238" i="1"/>
  <c r="F364" i="1"/>
  <c r="BA374" i="1"/>
  <c r="BA339" i="1"/>
  <c r="AC535" i="1"/>
  <c r="DF53" i="3"/>
  <c r="DG53" i="3"/>
  <c r="DH53" i="3"/>
  <c r="DI53" i="3"/>
  <c r="DJ53" i="3" s="1"/>
  <c r="CJ535" i="1"/>
  <c r="CI651" i="1"/>
  <c r="AZ673" i="1"/>
  <c r="DG1" i="3"/>
  <c r="DH1" i="3"/>
  <c r="DF1" i="3"/>
  <c r="DI1" i="3"/>
  <c r="DJ1" i="3" s="1"/>
  <c r="DH105" i="3"/>
  <c r="DF105" i="3"/>
  <c r="DG105" i="3"/>
  <c r="DJ105" i="3" s="1"/>
  <c r="DI105" i="3"/>
  <c r="AT30" i="1"/>
  <c r="F57" i="1"/>
  <c r="DF56" i="3"/>
  <c r="DI56" i="3"/>
  <c r="DJ56" i="3" s="1"/>
  <c r="DG56" i="3"/>
  <c r="DH56" i="3"/>
  <c r="AF30" i="1"/>
  <c r="S39" i="1"/>
  <c r="CY114" i="1"/>
  <c r="X114" i="1" s="1"/>
  <c r="CZ114" i="1"/>
  <c r="Y114" i="1" s="1"/>
  <c r="T267" i="1"/>
  <c r="F294" i="1"/>
  <c r="DF144" i="3"/>
  <c r="DG144" i="3"/>
  <c r="DH144" i="3"/>
  <c r="DI144" i="3"/>
  <c r="DJ144" i="3" s="1"/>
  <c r="CF267" i="1"/>
  <c r="AW273" i="1"/>
  <c r="DF96" i="3"/>
  <c r="DH96" i="3"/>
  <c r="DI96" i="3"/>
  <c r="DJ96" i="3" s="1"/>
  <c r="DG96" i="3"/>
  <c r="AP335" i="1"/>
  <c r="F383" i="1"/>
  <c r="GK499" i="1"/>
  <c r="GM528" i="1"/>
  <c r="GP528" i="1" s="1"/>
  <c r="DH55" i="3"/>
  <c r="DI55" i="3"/>
  <c r="DF55" i="3"/>
  <c r="DJ55" i="3" s="1"/>
  <c r="DG55" i="3"/>
  <c r="V535" i="1"/>
  <c r="AI492" i="1"/>
  <c r="S426" i="1"/>
  <c r="CI609" i="1"/>
  <c r="AZ619" i="1"/>
  <c r="AI30" i="1"/>
  <c r="V39" i="1"/>
  <c r="AT124" i="1"/>
  <c r="AT303" i="1" s="1"/>
  <c r="CC110" i="1"/>
  <c r="F225" i="1"/>
  <c r="X194" i="1"/>
  <c r="U156" i="1"/>
  <c r="F184" i="1"/>
  <c r="AR231" i="1"/>
  <c r="F263" i="1"/>
  <c r="F276" i="1"/>
  <c r="P267" i="1"/>
  <c r="Q426" i="1"/>
  <c r="AD410" i="1"/>
  <c r="CI426" i="1"/>
  <c r="BY410" i="1"/>
  <c r="AP426" i="1"/>
  <c r="DF75" i="3"/>
  <c r="DG75" i="3"/>
  <c r="DH75" i="3"/>
  <c r="DI75" i="3"/>
  <c r="DJ75" i="3" s="1"/>
  <c r="AH410" i="1"/>
  <c r="U426" i="1"/>
  <c r="F244" i="1"/>
  <c r="AP231" i="1"/>
  <c r="F249" i="1"/>
  <c r="R231" i="1"/>
  <c r="CY499" i="1"/>
  <c r="X499" i="1" s="1"/>
  <c r="CZ499" i="1"/>
  <c r="Y499" i="1" s="1"/>
  <c r="GM415" i="1"/>
  <c r="AT651" i="1"/>
  <c r="F691" i="1"/>
  <c r="BB492" i="1"/>
  <c r="F548" i="1"/>
  <c r="BB703" i="1"/>
  <c r="F628" i="1"/>
  <c r="AP609" i="1"/>
  <c r="DF115" i="3"/>
  <c r="DJ115" i="3" s="1"/>
  <c r="DG115" i="3"/>
  <c r="DI115" i="3"/>
  <c r="DH115" i="3"/>
  <c r="AY78" i="1"/>
  <c r="CH71" i="1"/>
  <c r="AC39" i="1"/>
  <c r="AH110" i="1"/>
  <c r="U124" i="1"/>
  <c r="F185" i="1"/>
  <c r="V156" i="1"/>
  <c r="DF98" i="3"/>
  <c r="DJ98" i="3" s="1"/>
  <c r="DG98" i="3"/>
  <c r="DH98" i="3"/>
  <c r="DI98" i="3"/>
  <c r="GM506" i="1"/>
  <c r="GP506" i="1" s="1"/>
  <c r="AQ619" i="1"/>
  <c r="BZ609" i="1"/>
  <c r="CG619" i="1"/>
  <c r="AZ235" i="1"/>
  <c r="CI231" i="1"/>
  <c r="DF99" i="3"/>
  <c r="DG99" i="3"/>
  <c r="DH99" i="3"/>
  <c r="DI99" i="3"/>
  <c r="DJ99" i="3" s="1"/>
  <c r="AP577" i="1"/>
  <c r="CI577" i="1"/>
  <c r="BY567" i="1"/>
  <c r="AS619" i="1"/>
  <c r="CB609" i="1"/>
  <c r="S619" i="1"/>
  <c r="AF609" i="1"/>
  <c r="F682" i="1"/>
  <c r="AP651" i="1"/>
  <c r="V619" i="1"/>
  <c r="AI609" i="1"/>
  <c r="U619" i="1"/>
  <c r="AH609" i="1"/>
  <c r="AS651" i="1"/>
  <c r="F690" i="1"/>
  <c r="DH6" i="3"/>
  <c r="DI6" i="3"/>
  <c r="DJ6" i="3" s="1"/>
  <c r="DG6" i="3"/>
  <c r="DF6" i="3"/>
  <c r="DG12" i="3"/>
  <c r="DH12" i="3"/>
  <c r="DF12" i="3"/>
  <c r="DI12" i="3"/>
  <c r="DJ12" i="3" s="1"/>
  <c r="DI97" i="3"/>
  <c r="DH97" i="3"/>
  <c r="DF97" i="3"/>
  <c r="DJ97" i="3" s="1"/>
  <c r="DG97" i="3"/>
  <c r="AV78" i="1"/>
  <c r="CE71" i="1"/>
  <c r="DF11" i="3"/>
  <c r="DG11" i="3"/>
  <c r="DH11" i="3"/>
  <c r="DI11" i="3"/>
  <c r="DJ11" i="3" s="1"/>
  <c r="DF87" i="3"/>
  <c r="DG87" i="3"/>
  <c r="DH87" i="3"/>
  <c r="DI87" i="3"/>
  <c r="DJ87" i="3" s="1"/>
  <c r="CP75" i="1"/>
  <c r="O75" i="1" s="1"/>
  <c r="GM75" i="1" s="1"/>
  <c r="GP75" i="1" s="1"/>
  <c r="AU71" i="1"/>
  <c r="F97" i="1"/>
  <c r="F285" i="1"/>
  <c r="Q267" i="1"/>
  <c r="CP499" i="1"/>
  <c r="O499" i="1" s="1"/>
  <c r="AF339" i="1"/>
  <c r="S344" i="1"/>
  <c r="F677" i="1"/>
  <c r="AO651" i="1"/>
  <c r="F99" i="1"/>
  <c r="T71" i="1"/>
  <c r="AB39" i="1"/>
  <c r="GM34" i="1"/>
  <c r="CP114" i="1"/>
  <c r="O114" i="1" s="1"/>
  <c r="F208" i="1"/>
  <c r="AP194" i="1"/>
  <c r="T110" i="1"/>
  <c r="F145" i="1"/>
  <c r="F95" i="1"/>
  <c r="AS71" i="1"/>
  <c r="DF9" i="3"/>
  <c r="DG9" i="3"/>
  <c r="DH9" i="3"/>
  <c r="DI9" i="3"/>
  <c r="DJ9" i="3" s="1"/>
  <c r="AJ410" i="1"/>
  <c r="W426" i="1"/>
  <c r="BD156" i="1"/>
  <c r="BD303" i="1"/>
  <c r="F187" i="1"/>
  <c r="AY267" i="1"/>
  <c r="F281" i="1"/>
  <c r="F183" i="1"/>
  <c r="T156" i="1"/>
  <c r="GM508" i="1"/>
  <c r="GP508" i="1" s="1"/>
  <c r="AC673" i="1"/>
  <c r="AX673" i="1"/>
  <c r="CG651" i="1"/>
  <c r="DG22" i="3"/>
  <c r="DI22" i="3"/>
  <c r="DJ22" i="3" s="1"/>
  <c r="DF22" i="3"/>
  <c r="DH22" i="3"/>
  <c r="CP119" i="1"/>
  <c r="O119" i="1" s="1"/>
  <c r="AO26" i="1"/>
  <c r="F307" i="1"/>
  <c r="AO733" i="1"/>
  <c r="AI410" i="1"/>
  <c r="V426" i="1"/>
  <c r="BC567" i="1"/>
  <c r="F593" i="1"/>
  <c r="BC492" i="1"/>
  <c r="F551" i="1"/>
  <c r="BC703" i="1"/>
  <c r="T535" i="1"/>
  <c r="AG492" i="1"/>
  <c r="DF61" i="3"/>
  <c r="DJ61" i="3" s="1"/>
  <c r="DG61" i="3"/>
  <c r="DH61" i="3"/>
  <c r="DI61" i="3"/>
  <c r="CI30" i="1"/>
  <c r="AZ39" i="1"/>
  <c r="DF76" i="3"/>
  <c r="DG76" i="3"/>
  <c r="DH76" i="3"/>
  <c r="DI76" i="3"/>
  <c r="DJ76" i="3" s="1"/>
  <c r="F261" i="1"/>
  <c r="X231" i="1"/>
  <c r="BC267" i="1"/>
  <c r="F289" i="1"/>
  <c r="GK653" i="1"/>
  <c r="GM653" i="1" s="1"/>
  <c r="CP516" i="1"/>
  <c r="O516" i="1" s="1"/>
  <c r="GM516" i="1" s="1"/>
  <c r="GP516" i="1" s="1"/>
  <c r="F175" i="1"/>
  <c r="BB156" i="1"/>
  <c r="DH147" i="3"/>
  <c r="DG147" i="3"/>
  <c r="DF147" i="3"/>
  <c r="DJ147" i="3" s="1"/>
  <c r="DI147" i="3"/>
  <c r="AI651" i="1"/>
  <c r="V673" i="1"/>
  <c r="DG112" i="3"/>
  <c r="DI112" i="3"/>
  <c r="DJ112" i="3" s="1"/>
  <c r="DF112" i="3"/>
  <c r="DH112" i="3"/>
  <c r="CG30" i="1"/>
  <c r="AX39" i="1"/>
  <c r="F223" i="1"/>
  <c r="W194" i="1"/>
  <c r="F179" i="1"/>
  <c r="AS156" i="1"/>
  <c r="DF122" i="3"/>
  <c r="DG122" i="3"/>
  <c r="DH122" i="3"/>
  <c r="DI122" i="3"/>
  <c r="DJ122" i="3" s="1"/>
  <c r="DF13" i="3"/>
  <c r="DI13" i="3"/>
  <c r="DG13" i="3"/>
  <c r="DJ13" i="3" s="1"/>
  <c r="DH13" i="3"/>
  <c r="DF117" i="3"/>
  <c r="DJ117" i="3" s="1"/>
  <c r="DI117" i="3"/>
  <c r="DG117" i="3"/>
  <c r="DH117" i="3"/>
  <c r="DF72" i="3"/>
  <c r="DG72" i="3"/>
  <c r="DH72" i="3"/>
  <c r="DI72" i="3"/>
  <c r="DJ72" i="3" s="1"/>
  <c r="CP120" i="1"/>
  <c r="O120" i="1" s="1"/>
  <c r="GM120" i="1" s="1"/>
  <c r="GP120" i="1" s="1"/>
  <c r="F288" i="1"/>
  <c r="S267" i="1"/>
  <c r="F365" i="1"/>
  <c r="T374" i="1"/>
  <c r="T339" i="1"/>
  <c r="AF535" i="1"/>
  <c r="CP510" i="1"/>
  <c r="O510" i="1" s="1"/>
  <c r="CP418" i="1"/>
  <c r="O418" i="1" s="1"/>
  <c r="AC426" i="1"/>
  <c r="AD673" i="1"/>
  <c r="AE344" i="1"/>
  <c r="GK341" i="1"/>
  <c r="AJ673" i="1"/>
  <c r="CY613" i="1"/>
  <c r="X613" i="1" s="1"/>
  <c r="CZ613" i="1"/>
  <c r="Y613" i="1" s="1"/>
  <c r="F698" i="1"/>
  <c r="BD651" i="1"/>
  <c r="F278" i="1"/>
  <c r="AV267" i="1"/>
  <c r="T567" i="1"/>
  <c r="F598" i="1"/>
  <c r="DG46" i="3"/>
  <c r="DH46" i="3"/>
  <c r="DI46" i="3"/>
  <c r="DJ46" i="3" s="1"/>
  <c r="DF46" i="3"/>
  <c r="AD124" i="1"/>
  <c r="CP118" i="1"/>
  <c r="O118" i="1" s="1"/>
  <c r="DF116" i="3"/>
  <c r="DG116" i="3"/>
  <c r="DH116" i="3"/>
  <c r="DI116" i="3"/>
  <c r="DJ116" i="3" s="1"/>
  <c r="F189" i="1"/>
  <c r="Y156" i="1"/>
  <c r="DF114" i="3"/>
  <c r="DG114" i="3"/>
  <c r="DH114" i="3"/>
  <c r="DI114" i="3"/>
  <c r="DJ114" i="3" s="1"/>
  <c r="BD267" i="1"/>
  <c r="F298" i="1"/>
  <c r="BC406" i="1"/>
  <c r="F472" i="1"/>
  <c r="CB410" i="1"/>
  <c r="AS426" i="1"/>
  <c r="GM509" i="1"/>
  <c r="GP509" i="1" s="1"/>
  <c r="GM517" i="1"/>
  <c r="GP517" i="1" s="1"/>
  <c r="DF143" i="3"/>
  <c r="DG143" i="3"/>
  <c r="DH143" i="3"/>
  <c r="DI143" i="3"/>
  <c r="DJ143" i="3" s="1"/>
  <c r="DG19" i="3"/>
  <c r="DH19" i="3"/>
  <c r="DF19" i="3"/>
  <c r="DJ19" i="3" s="1"/>
  <c r="DI19" i="3"/>
  <c r="DF7" i="3"/>
  <c r="DJ7" i="3" s="1"/>
  <c r="DG7" i="3"/>
  <c r="DH7" i="3"/>
  <c r="DI7" i="3"/>
  <c r="CF156" i="1"/>
  <c r="AW162" i="1"/>
  <c r="F49" i="1"/>
  <c r="AQ30" i="1"/>
  <c r="AQ303" i="1"/>
  <c r="AV199" i="1"/>
  <c r="CE194" i="1"/>
  <c r="BC30" i="1"/>
  <c r="F55" i="1"/>
  <c r="BC303" i="1"/>
  <c r="CI339" i="1"/>
  <c r="AZ344" i="1"/>
  <c r="R194" i="1"/>
  <c r="F213" i="1"/>
  <c r="AZ194" i="1"/>
  <c r="F210" i="1"/>
  <c r="GK423" i="1"/>
  <c r="GM423" i="1" s="1"/>
  <c r="GP423" i="1" s="1"/>
  <c r="CG339" i="1"/>
  <c r="AX344" i="1"/>
  <c r="W339" i="1"/>
  <c r="F368" i="1"/>
  <c r="W374" i="1"/>
  <c r="CJ651" i="1"/>
  <c r="BA673" i="1"/>
  <c r="GM526" i="1"/>
  <c r="GP526" i="1" s="1"/>
  <c r="BA110" i="1"/>
  <c r="F144" i="1"/>
  <c r="W619" i="1"/>
  <c r="AJ609" i="1"/>
  <c r="DG85" i="3"/>
  <c r="DH85" i="3"/>
  <c r="DF85" i="3"/>
  <c r="DJ85" i="3" s="1"/>
  <c r="DI85" i="3"/>
  <c r="F286" i="1"/>
  <c r="BB267" i="1"/>
  <c r="AY162" i="1"/>
  <c r="CH156" i="1"/>
  <c r="F250" i="1"/>
  <c r="S231" i="1"/>
  <c r="DG16" i="3"/>
  <c r="DH16" i="3"/>
  <c r="DI16" i="3"/>
  <c r="DJ16" i="3" s="1"/>
  <c r="DF16" i="3"/>
  <c r="AQ71" i="1"/>
  <c r="F88" i="1"/>
  <c r="V339" i="1"/>
  <c r="F367" i="1"/>
  <c r="V374" i="1"/>
  <c r="DG110" i="3"/>
  <c r="DH110" i="3"/>
  <c r="DI110" i="3"/>
  <c r="DF110" i="3"/>
  <c r="DJ110" i="3" s="1"/>
  <c r="CP341" i="1"/>
  <c r="O341" i="1" s="1"/>
  <c r="DH60" i="3"/>
  <c r="DI60" i="3"/>
  <c r="DJ60" i="3" s="1"/>
  <c r="DG60" i="3"/>
  <c r="DF60" i="3"/>
  <c r="BZ492" i="1"/>
  <c r="AQ535" i="1"/>
  <c r="CG535" i="1"/>
  <c r="CI535" i="1"/>
  <c r="AQ374" i="1"/>
  <c r="F354" i="1"/>
  <c r="AQ339" i="1"/>
  <c r="CP494" i="1"/>
  <c r="O494" i="1" s="1"/>
  <c r="GM494" i="1" s="1"/>
  <c r="GP494" i="1" s="1"/>
  <c r="AD619" i="1"/>
  <c r="GM532" i="1"/>
  <c r="GP532" i="1" s="1"/>
  <c r="CP617" i="1"/>
  <c r="O617" i="1" s="1"/>
  <c r="GM617" i="1" s="1"/>
  <c r="GP617" i="1" s="1"/>
  <c r="CP659" i="1"/>
  <c r="O659" i="1" s="1"/>
  <c r="GM659" i="1" s="1"/>
  <c r="GP659" i="1" s="1"/>
  <c r="V567" i="1"/>
  <c r="F600" i="1"/>
  <c r="AP492" i="1"/>
  <c r="F544" i="1"/>
  <c r="AS30" i="1"/>
  <c r="F56" i="1"/>
  <c r="W39" i="1"/>
  <c r="AJ30" i="1"/>
  <c r="BB30" i="1"/>
  <c r="F52" i="1"/>
  <c r="BB303" i="1"/>
  <c r="AX162" i="1"/>
  <c r="CG156" i="1"/>
  <c r="CG231" i="1"/>
  <c r="AX235" i="1"/>
  <c r="DF20" i="3"/>
  <c r="DJ20" i="3" s="1"/>
  <c r="DG20" i="3"/>
  <c r="DI20" i="3"/>
  <c r="DH20" i="3"/>
  <c r="CI71" i="1"/>
  <c r="AZ78" i="1"/>
  <c r="GM76" i="1"/>
  <c r="GP76" i="1" s="1"/>
  <c r="W156" i="1"/>
  <c r="F186" i="1"/>
  <c r="X156" i="1"/>
  <c r="F188" i="1"/>
  <c r="AX78" i="1"/>
  <c r="CG71" i="1"/>
  <c r="GM160" i="1"/>
  <c r="GP160" i="1" s="1"/>
  <c r="GM74" i="1"/>
  <c r="GP74" i="1" s="1"/>
  <c r="F245" i="1"/>
  <c r="AQ231" i="1"/>
  <c r="DH17" i="3"/>
  <c r="DI17" i="3"/>
  <c r="DF17" i="3"/>
  <c r="DJ17" i="3" s="1"/>
  <c r="DG17" i="3"/>
  <c r="F387" i="1"/>
  <c r="BB335" i="1"/>
  <c r="BC156" i="1"/>
  <c r="F178" i="1"/>
  <c r="GM416" i="1"/>
  <c r="GP416" i="1" s="1"/>
  <c r="CY269" i="1"/>
  <c r="X269" i="1" s="1"/>
  <c r="CZ269" i="1"/>
  <c r="Y269" i="1" s="1"/>
  <c r="F632" i="1"/>
  <c r="BB609" i="1"/>
  <c r="CB567" i="1"/>
  <c r="AS577" i="1"/>
  <c r="CY612" i="1"/>
  <c r="X612" i="1" s="1"/>
  <c r="CZ612" i="1"/>
  <c r="Y612" i="1" s="1"/>
  <c r="P399" i="7" l="1"/>
  <c r="K399" i="7"/>
  <c r="K315" i="7"/>
  <c r="P315" i="7"/>
  <c r="P321" i="8"/>
  <c r="L321" i="8"/>
  <c r="X39" i="1"/>
  <c r="AK30" i="1"/>
  <c r="L154" i="8"/>
  <c r="P154" i="8"/>
  <c r="P43" i="7"/>
  <c r="K43" i="7"/>
  <c r="L258" i="8"/>
  <c r="P258" i="8"/>
  <c r="P266" i="8"/>
  <c r="L266" i="8"/>
  <c r="P350" i="7"/>
  <c r="K350" i="7"/>
  <c r="J205" i="8"/>
  <c r="GM569" i="1"/>
  <c r="GP569" i="1" s="1"/>
  <c r="CD577" i="1" s="1"/>
  <c r="P389" i="8"/>
  <c r="L389" i="8"/>
  <c r="P223" i="7"/>
  <c r="K223" i="7"/>
  <c r="K287" i="7"/>
  <c r="P287" i="7"/>
  <c r="P293" i="8"/>
  <c r="L293" i="8"/>
  <c r="P197" i="8"/>
  <c r="L197" i="8"/>
  <c r="T324" i="7"/>
  <c r="J328" i="7" s="1"/>
  <c r="T330" i="8"/>
  <c r="K334" i="8" s="1"/>
  <c r="R519" i="8"/>
  <c r="K523" i="8" s="1"/>
  <c r="J526" i="8" s="1"/>
  <c r="R513" i="7"/>
  <c r="J517" i="7" s="1"/>
  <c r="GK36" i="1"/>
  <c r="K60" i="8"/>
  <c r="J54" i="7"/>
  <c r="R240" i="7"/>
  <c r="J242" i="7" s="1"/>
  <c r="I245" i="7" s="1"/>
  <c r="R246" i="8"/>
  <c r="K248" i="8" s="1"/>
  <c r="P329" i="8"/>
  <c r="L329" i="8"/>
  <c r="J413" i="8"/>
  <c r="L356" i="8"/>
  <c r="P356" i="8"/>
  <c r="T232" i="7"/>
  <c r="J237" i="7" s="1"/>
  <c r="T238" i="8"/>
  <c r="K243" i="8" s="1"/>
  <c r="T240" i="7"/>
  <c r="J243" i="7" s="1"/>
  <c r="T246" i="8"/>
  <c r="K249" i="8" s="1"/>
  <c r="R422" i="7"/>
  <c r="J425" i="7" s="1"/>
  <c r="I428" i="7" s="1"/>
  <c r="R428" i="8"/>
  <c r="K431" i="8" s="1"/>
  <c r="J434" i="8" s="1"/>
  <c r="GM657" i="1"/>
  <c r="GP657" i="1" s="1"/>
  <c r="R496" i="8"/>
  <c r="K500" i="8" s="1"/>
  <c r="R490" i="7"/>
  <c r="J494" i="7" s="1"/>
  <c r="I131" i="7"/>
  <c r="R456" i="8"/>
  <c r="K460" i="8" s="1"/>
  <c r="J463" i="8" s="1"/>
  <c r="R450" i="7"/>
  <c r="J454" i="7" s="1"/>
  <c r="I457" i="7" s="1"/>
  <c r="R198" i="8"/>
  <c r="K202" i="8" s="1"/>
  <c r="R192" i="7"/>
  <c r="J196" i="7" s="1"/>
  <c r="I199" i="7" s="1"/>
  <c r="J495" i="8"/>
  <c r="T421" i="8"/>
  <c r="K425" i="8" s="1"/>
  <c r="J427" i="8" s="1"/>
  <c r="T415" i="7"/>
  <c r="J419" i="7" s="1"/>
  <c r="I421" i="7" s="1"/>
  <c r="W535" i="1"/>
  <c r="W492" i="1" s="1"/>
  <c r="GM36" i="1"/>
  <c r="GP36" i="1" s="1"/>
  <c r="J161" i="8"/>
  <c r="AF110" i="1"/>
  <c r="R295" i="7"/>
  <c r="J299" i="7" s="1"/>
  <c r="I302" i="7" s="1"/>
  <c r="R301" i="8"/>
  <c r="K305" i="8" s="1"/>
  <c r="T210" i="7"/>
  <c r="J214" i="7" s="1"/>
  <c r="T216" i="8"/>
  <c r="K220" i="8" s="1"/>
  <c r="R149" i="7"/>
  <c r="J152" i="7" s="1"/>
  <c r="R155" i="8"/>
  <c r="K158" i="8" s="1"/>
  <c r="T504" i="8"/>
  <c r="K508" i="8" s="1"/>
  <c r="J510" i="8" s="1"/>
  <c r="T498" i="7"/>
  <c r="J502" i="7" s="1"/>
  <c r="I504" i="7" s="1"/>
  <c r="F280" i="1"/>
  <c r="AX267" i="1"/>
  <c r="AT406" i="1"/>
  <c r="J118" i="8"/>
  <c r="J518" i="8"/>
  <c r="T267" i="7"/>
  <c r="J271" i="7" s="1"/>
  <c r="I273" i="7" s="1"/>
  <c r="T273" i="8"/>
  <c r="K277" i="8" s="1"/>
  <c r="J279" i="8" s="1"/>
  <c r="AZ156" i="1"/>
  <c r="F173" i="1"/>
  <c r="V110" i="1"/>
  <c r="F147" i="1"/>
  <c r="P49" i="8"/>
  <c r="L49" i="8"/>
  <c r="L229" i="8"/>
  <c r="P229" i="8"/>
  <c r="R261" i="7"/>
  <c r="J263" i="7" s="1"/>
  <c r="I266" i="7" s="1"/>
  <c r="R267" i="8"/>
  <c r="K269" i="8" s="1"/>
  <c r="J272" i="8" s="1"/>
  <c r="K323" i="7"/>
  <c r="P323" i="7"/>
  <c r="AK535" i="1"/>
  <c r="R230" i="8"/>
  <c r="K234" i="8" s="1"/>
  <c r="R224" i="7"/>
  <c r="J228" i="7" s="1"/>
  <c r="I231" i="7" s="1"/>
  <c r="T51" i="7"/>
  <c r="J57" i="7" s="1"/>
  <c r="I60" i="7" s="1"/>
  <c r="T57" i="8"/>
  <c r="K63" i="8" s="1"/>
  <c r="I414" i="7"/>
  <c r="T458" i="7"/>
  <c r="J463" i="7" s="1"/>
  <c r="T464" i="8"/>
  <c r="K469" i="8" s="1"/>
  <c r="J471" i="8" s="1"/>
  <c r="T490" i="7"/>
  <c r="J495" i="7" s="1"/>
  <c r="I497" i="7" s="1"/>
  <c r="T496" i="8"/>
  <c r="K501" i="8" s="1"/>
  <c r="J503" i="8" s="1"/>
  <c r="R359" i="7"/>
  <c r="J362" i="7" s="1"/>
  <c r="I365" i="7" s="1"/>
  <c r="R365" i="8"/>
  <c r="K368" i="8" s="1"/>
  <c r="J371" i="8" s="1"/>
  <c r="AB535" i="1"/>
  <c r="AG651" i="1"/>
  <c r="J379" i="8"/>
  <c r="AE426" i="1"/>
  <c r="GM514" i="1"/>
  <c r="GP514" i="1" s="1"/>
  <c r="I441" i="7"/>
  <c r="I174" i="7"/>
  <c r="R104" i="8"/>
  <c r="K107" i="8" s="1"/>
  <c r="J110" i="8" s="1"/>
  <c r="R98" i="7"/>
  <c r="J101" i="7" s="1"/>
  <c r="I104" i="7" s="1"/>
  <c r="I164" i="7"/>
  <c r="J66" i="8"/>
  <c r="F639" i="1"/>
  <c r="CG410" i="1"/>
  <c r="AX426" i="1"/>
  <c r="J222" i="8"/>
  <c r="AK339" i="1"/>
  <c r="F436" i="1"/>
  <c r="AQ456" i="1"/>
  <c r="AQ410" i="1"/>
  <c r="I252" i="7"/>
  <c r="T474" i="7"/>
  <c r="J479" i="7" s="1"/>
  <c r="T480" i="8"/>
  <c r="K485" i="8" s="1"/>
  <c r="AE619" i="1"/>
  <c r="T303" i="1"/>
  <c r="T26" i="1" s="1"/>
  <c r="GM418" i="1"/>
  <c r="GP418" i="1" s="1"/>
  <c r="AE535" i="1"/>
  <c r="T162" i="8"/>
  <c r="K167" i="8" s="1"/>
  <c r="T156" i="7"/>
  <c r="J161" i="7" s="1"/>
  <c r="AK426" i="1"/>
  <c r="R324" i="7"/>
  <c r="J327" i="7" s="1"/>
  <c r="I330" i="7" s="1"/>
  <c r="R330" i="8"/>
  <c r="K333" i="8" s="1"/>
  <c r="J336" i="8" s="1"/>
  <c r="J56" i="8"/>
  <c r="T274" i="7"/>
  <c r="J279" i="7" s="1"/>
  <c r="T280" i="8"/>
  <c r="K285" i="8" s="1"/>
  <c r="I520" i="7"/>
  <c r="J137" i="8"/>
  <c r="J300" i="8"/>
  <c r="J308" i="8"/>
  <c r="AE673" i="1"/>
  <c r="AL535" i="1"/>
  <c r="T230" i="8"/>
  <c r="K235" i="8" s="1"/>
  <c r="T224" i="7"/>
  <c r="J229" i="7" s="1"/>
  <c r="S577" i="1"/>
  <c r="R238" i="8"/>
  <c r="K242" i="8" s="1"/>
  <c r="R232" i="7"/>
  <c r="J236" i="7" s="1"/>
  <c r="P407" i="7"/>
  <c r="K407" i="7"/>
  <c r="I87" i="7"/>
  <c r="GM575" i="1"/>
  <c r="GP575" i="1" s="1"/>
  <c r="R464" i="8"/>
  <c r="K468" i="8" s="1"/>
  <c r="R458" i="7"/>
  <c r="J462" i="7" s="1"/>
  <c r="I465" i="7" s="1"/>
  <c r="J93" i="8"/>
  <c r="GM512" i="1"/>
  <c r="GP512" i="1" s="1"/>
  <c r="J420" i="8"/>
  <c r="GM666" i="1"/>
  <c r="GP666" i="1" s="1"/>
  <c r="GK119" i="1"/>
  <c r="K98" i="8"/>
  <c r="J92" i="7"/>
  <c r="R94" i="8"/>
  <c r="K99" i="8" s="1"/>
  <c r="R88" i="7"/>
  <c r="J93" i="7" s="1"/>
  <c r="R414" i="8"/>
  <c r="K417" i="8" s="1"/>
  <c r="R408" i="7"/>
  <c r="J411" i="7" s="1"/>
  <c r="T192" i="7"/>
  <c r="J197" i="7" s="1"/>
  <c r="T198" i="8"/>
  <c r="K203" i="8" s="1"/>
  <c r="AK577" i="1"/>
  <c r="R342" i="8"/>
  <c r="K345" i="8" s="1"/>
  <c r="J348" i="8" s="1"/>
  <c r="R336" i="7"/>
  <c r="J339" i="7" s="1"/>
  <c r="I342" i="7" s="1"/>
  <c r="T482" i="7"/>
  <c r="J487" i="7" s="1"/>
  <c r="I489" i="7" s="1"/>
  <c r="T488" i="8"/>
  <c r="K493" i="8" s="1"/>
  <c r="R472" i="8"/>
  <c r="K476" i="8" s="1"/>
  <c r="J479" i="8" s="1"/>
  <c r="R466" i="7"/>
  <c r="J470" i="7" s="1"/>
  <c r="W567" i="1"/>
  <c r="T104" i="8"/>
  <c r="K108" i="8" s="1"/>
  <c r="T98" i="7"/>
  <c r="J102" i="7" s="1"/>
  <c r="J215" i="8"/>
  <c r="I473" i="7"/>
  <c r="T44" i="7"/>
  <c r="J48" i="7" s="1"/>
  <c r="T50" i="8"/>
  <c r="K54" i="8" s="1"/>
  <c r="AL39" i="1"/>
  <c r="AK619" i="1"/>
  <c r="P512" i="7"/>
  <c r="K512" i="7"/>
  <c r="R280" i="8"/>
  <c r="K284" i="8" s="1"/>
  <c r="R274" i="7"/>
  <c r="J278" i="7" s="1"/>
  <c r="T472" i="8"/>
  <c r="K477" i="8" s="1"/>
  <c r="T466" i="7"/>
  <c r="J471" i="7" s="1"/>
  <c r="GM520" i="1"/>
  <c r="GP520" i="1" s="1"/>
  <c r="R442" i="7"/>
  <c r="J446" i="7" s="1"/>
  <c r="R448" i="8"/>
  <c r="K452" i="8" s="1"/>
  <c r="J455" i="8" s="1"/>
  <c r="R210" i="7"/>
  <c r="J213" i="7" s="1"/>
  <c r="R216" i="8"/>
  <c r="K219" i="8" s="1"/>
  <c r="I112" i="7"/>
  <c r="J447" i="8"/>
  <c r="I449" i="7"/>
  <c r="AL619" i="1"/>
  <c r="AL609" i="1" s="1"/>
  <c r="J180" i="8"/>
  <c r="R57" i="8"/>
  <c r="K62" i="8" s="1"/>
  <c r="R51" i="7"/>
  <c r="J56" i="7" s="1"/>
  <c r="GK575" i="1"/>
  <c r="K383" i="8"/>
  <c r="J377" i="7"/>
  <c r="I481" i="7"/>
  <c r="T448" i="8"/>
  <c r="K453" i="8" s="1"/>
  <c r="T442" i="7"/>
  <c r="J447" i="7" s="1"/>
  <c r="GM612" i="1"/>
  <c r="GP612" i="1" s="1"/>
  <c r="AE577" i="1"/>
  <c r="R577" i="1" s="1"/>
  <c r="J170" i="8"/>
  <c r="T66" i="7"/>
  <c r="J73" i="7" s="1"/>
  <c r="T72" i="8"/>
  <c r="K79" i="8" s="1"/>
  <c r="F683" i="1"/>
  <c r="GK421" i="1"/>
  <c r="GM421" i="1" s="1"/>
  <c r="GP421" i="1" s="1"/>
  <c r="J159" i="7"/>
  <c r="K165" i="8"/>
  <c r="J287" i="8"/>
  <c r="AD567" i="1"/>
  <c r="GM655" i="1"/>
  <c r="GP655" i="1" s="1"/>
  <c r="J405" i="8"/>
  <c r="CE344" i="1"/>
  <c r="P344" i="1"/>
  <c r="CF344" i="1"/>
  <c r="AC339" i="1"/>
  <c r="CH344" i="1"/>
  <c r="J364" i="8"/>
  <c r="P373" i="7"/>
  <c r="K373" i="7"/>
  <c r="GK118" i="1"/>
  <c r="GM118" i="1" s="1"/>
  <c r="GP118" i="1" s="1"/>
  <c r="K87" i="8"/>
  <c r="J81" i="7"/>
  <c r="GM533" i="1"/>
  <c r="GP533" i="1" s="1"/>
  <c r="R288" i="7"/>
  <c r="J291" i="7" s="1"/>
  <c r="I294" i="7" s="1"/>
  <c r="R294" i="8"/>
  <c r="K297" i="8" s="1"/>
  <c r="J251" i="8"/>
  <c r="I308" i="7"/>
  <c r="T456" i="8"/>
  <c r="K461" i="8" s="1"/>
  <c r="T450" i="7"/>
  <c r="J455" i="7" s="1"/>
  <c r="T88" i="7"/>
  <c r="J94" i="7" s="1"/>
  <c r="I97" i="7" s="1"/>
  <c r="T94" i="8"/>
  <c r="K100" i="8" s="1"/>
  <c r="J103" i="8" s="1"/>
  <c r="L314" i="8"/>
  <c r="P314" i="8"/>
  <c r="AZ267" i="1"/>
  <c r="F284" i="1"/>
  <c r="AW71" i="1"/>
  <c r="F84" i="1"/>
  <c r="AL344" i="1"/>
  <c r="T129" i="8"/>
  <c r="K135" i="8" s="1"/>
  <c r="T123" i="7"/>
  <c r="J129" i="7" s="1"/>
  <c r="R521" i="7"/>
  <c r="J524" i="7" s="1"/>
  <c r="I527" i="7" s="1"/>
  <c r="R527" i="8"/>
  <c r="K530" i="8" s="1"/>
  <c r="J533" i="8" s="1"/>
  <c r="T149" i="7"/>
  <c r="J153" i="7" s="1"/>
  <c r="T155" i="8"/>
  <c r="K159" i="8" s="1"/>
  <c r="I155" i="7"/>
  <c r="T206" i="8"/>
  <c r="K212" i="8" s="1"/>
  <c r="T200" i="7"/>
  <c r="J206" i="7" s="1"/>
  <c r="I209" i="7" s="1"/>
  <c r="I358" i="7"/>
  <c r="GM616" i="1"/>
  <c r="GP616" i="1" s="1"/>
  <c r="R72" i="8"/>
  <c r="K78" i="8" s="1"/>
  <c r="J82" i="8" s="1"/>
  <c r="R66" i="7"/>
  <c r="J72" i="7" s="1"/>
  <c r="I76" i="7" s="1"/>
  <c r="GM670" i="1"/>
  <c r="GP670" i="1" s="1"/>
  <c r="T527" i="8"/>
  <c r="K531" i="8" s="1"/>
  <c r="T521" i="7"/>
  <c r="J525" i="7" s="1"/>
  <c r="GM525" i="1"/>
  <c r="GP525" i="1" s="1"/>
  <c r="GM117" i="1"/>
  <c r="R50" i="8"/>
  <c r="K53" i="8" s="1"/>
  <c r="R44" i="7"/>
  <c r="J47" i="7" s="1"/>
  <c r="I383" i="7"/>
  <c r="AE39" i="1"/>
  <c r="GM613" i="1"/>
  <c r="GP613" i="1" s="1"/>
  <c r="GM522" i="1"/>
  <c r="GP522" i="1" s="1"/>
  <c r="P148" i="7"/>
  <c r="K148" i="7"/>
  <c r="J487" i="8"/>
  <c r="I216" i="7"/>
  <c r="I191" i="7"/>
  <c r="I281" i="7"/>
  <c r="F60" i="1"/>
  <c r="AD339" i="1"/>
  <c r="GM269" i="1"/>
  <c r="GP269" i="1" s="1"/>
  <c r="GM614" i="1"/>
  <c r="GP614" i="1" s="1"/>
  <c r="AK124" i="1"/>
  <c r="T440" i="8"/>
  <c r="K445" i="8" s="1"/>
  <c r="T434" i="7"/>
  <c r="J439" i="7" s="1"/>
  <c r="K174" i="8"/>
  <c r="J168" i="7"/>
  <c r="I260" i="7"/>
  <c r="T342" i="8"/>
  <c r="K346" i="8" s="1"/>
  <c r="T336" i="7"/>
  <c r="J340" i="7" s="1"/>
  <c r="AL577" i="1"/>
  <c r="AL426" i="1"/>
  <c r="I239" i="7"/>
  <c r="AT26" i="1"/>
  <c r="F321" i="1"/>
  <c r="AT733" i="1"/>
  <c r="AL492" i="1"/>
  <c r="Y535" i="1"/>
  <c r="X535" i="1"/>
  <c r="AK492" i="1"/>
  <c r="AB492" i="1"/>
  <c r="O535" i="1"/>
  <c r="GP653" i="1"/>
  <c r="F641" i="1"/>
  <c r="U609" i="1"/>
  <c r="BB26" i="1"/>
  <c r="F316" i="1"/>
  <c r="BB733" i="1"/>
  <c r="AV194" i="1"/>
  <c r="F204" i="1"/>
  <c r="AX30" i="1"/>
  <c r="F46" i="1"/>
  <c r="AX303" i="1"/>
  <c r="F146" i="1"/>
  <c r="U110" i="1"/>
  <c r="AX339" i="1"/>
  <c r="F351" i="1"/>
  <c r="AX374" i="1"/>
  <c r="AE110" i="1"/>
  <c r="R124" i="1"/>
  <c r="AX577" i="1"/>
  <c r="CG567" i="1"/>
  <c r="S535" i="1"/>
  <c r="AF492" i="1"/>
  <c r="BC488" i="1"/>
  <c r="F719" i="1"/>
  <c r="AZ231" i="1"/>
  <c r="F246" i="1"/>
  <c r="U410" i="1"/>
  <c r="U456" i="1"/>
  <c r="F448" i="1"/>
  <c r="CJ492" i="1"/>
  <c r="BA535" i="1"/>
  <c r="AB619" i="1"/>
  <c r="F595" i="1"/>
  <c r="AT567" i="1"/>
  <c r="U651" i="1"/>
  <c r="F695" i="1"/>
  <c r="X619" i="1"/>
  <c r="AK609" i="1"/>
  <c r="CI492" i="1"/>
  <c r="AZ535" i="1"/>
  <c r="Q374" i="1"/>
  <c r="Q339" i="1"/>
  <c r="F356" i="1"/>
  <c r="V651" i="1"/>
  <c r="F696" i="1"/>
  <c r="S651" i="1"/>
  <c r="F688" i="1"/>
  <c r="GP611" i="1"/>
  <c r="AY231" i="1"/>
  <c r="F243" i="1"/>
  <c r="AZ609" i="1"/>
  <c r="F630" i="1"/>
  <c r="AB344" i="1"/>
  <c r="GM341" i="1"/>
  <c r="AX71" i="1"/>
  <c r="F85" i="1"/>
  <c r="S30" i="1"/>
  <c r="F54" i="1"/>
  <c r="S303" i="1"/>
  <c r="P426" i="1"/>
  <c r="CE426" i="1"/>
  <c r="AC410" i="1"/>
  <c r="CF426" i="1"/>
  <c r="CH426" i="1"/>
  <c r="GM114" i="1"/>
  <c r="GP114" i="1" s="1"/>
  <c r="V335" i="1"/>
  <c r="F397" i="1"/>
  <c r="CF567" i="1"/>
  <c r="AW577" i="1"/>
  <c r="AE609" i="1"/>
  <c r="R619" i="1"/>
  <c r="GP415" i="1"/>
  <c r="CD426" i="1" s="1"/>
  <c r="CA426" i="1"/>
  <c r="AS335" i="1"/>
  <c r="F391" i="1"/>
  <c r="U567" i="1"/>
  <c r="F599" i="1"/>
  <c r="F89" i="1"/>
  <c r="AZ71" i="1"/>
  <c r="AC30" i="1"/>
  <c r="CH39" i="1"/>
  <c r="CE39" i="1"/>
  <c r="CF39" i="1"/>
  <c r="P39" i="1"/>
  <c r="CG492" i="1"/>
  <c r="AX535" i="1"/>
  <c r="AY71" i="1"/>
  <c r="F86" i="1"/>
  <c r="CE673" i="1"/>
  <c r="CH673" i="1"/>
  <c r="CF673" i="1"/>
  <c r="P673" i="1"/>
  <c r="AC651" i="1"/>
  <c r="AT110" i="1"/>
  <c r="F142" i="1"/>
  <c r="F61" i="1"/>
  <c r="U30" i="1"/>
  <c r="U303" i="1"/>
  <c r="CH110" i="1"/>
  <c r="AY124" i="1"/>
  <c r="AC609" i="1"/>
  <c r="CE619" i="1"/>
  <c r="CF619" i="1"/>
  <c r="CH619" i="1"/>
  <c r="P619" i="1"/>
  <c r="CI110" i="1"/>
  <c r="AZ124" i="1"/>
  <c r="AK110" i="1"/>
  <c r="X124" i="1"/>
  <c r="X303" i="1" s="1"/>
  <c r="Q410" i="1"/>
  <c r="Q456" i="1"/>
  <c r="F438" i="1"/>
  <c r="V609" i="1"/>
  <c r="F642" i="1"/>
  <c r="Q30" i="1"/>
  <c r="F51" i="1"/>
  <c r="F684" i="1"/>
  <c r="AZ651" i="1"/>
  <c r="AD609" i="1"/>
  <c r="Q619" i="1"/>
  <c r="GM510" i="1"/>
  <c r="GP510" i="1" s="1"/>
  <c r="CH567" i="1"/>
  <c r="AY577" i="1"/>
  <c r="F63" i="1"/>
  <c r="W30" i="1"/>
  <c r="W303" i="1"/>
  <c r="O39" i="1"/>
  <c r="AB30" i="1"/>
  <c r="GP117" i="1"/>
  <c r="AQ567" i="1"/>
  <c r="F587" i="1"/>
  <c r="S110" i="1"/>
  <c r="F139" i="1"/>
  <c r="AL110" i="1"/>
  <c r="Y124" i="1"/>
  <c r="AS26" i="1"/>
  <c r="F320" i="1"/>
  <c r="W410" i="1"/>
  <c r="W456" i="1"/>
  <c r="F450" i="1"/>
  <c r="F634" i="1"/>
  <c r="S609" i="1"/>
  <c r="F643" i="1"/>
  <c r="W609" i="1"/>
  <c r="AS567" i="1"/>
  <c r="F594" i="1"/>
  <c r="AB673" i="1"/>
  <c r="AS609" i="1"/>
  <c r="F636" i="1"/>
  <c r="F62" i="1"/>
  <c r="V30" i="1"/>
  <c r="V303" i="1"/>
  <c r="F240" i="1"/>
  <c r="AV231" i="1"/>
  <c r="AW231" i="1"/>
  <c r="F241" i="1"/>
  <c r="AP110" i="1"/>
  <c r="F133" i="1"/>
  <c r="AP303" i="1"/>
  <c r="F557" i="1"/>
  <c r="U492" i="1"/>
  <c r="U703" i="1"/>
  <c r="W335" i="1"/>
  <c r="F398" i="1"/>
  <c r="F83" i="1"/>
  <c r="AV71" i="1"/>
  <c r="CI567" i="1"/>
  <c r="AZ577" i="1"/>
  <c r="AX156" i="1"/>
  <c r="F169" i="1"/>
  <c r="AE339" i="1"/>
  <c r="R344" i="1"/>
  <c r="AO22" i="1"/>
  <c r="AO763" i="1"/>
  <c r="F737" i="1"/>
  <c r="AP567" i="1"/>
  <c r="F586" i="1"/>
  <c r="BB488" i="1"/>
  <c r="F716" i="1"/>
  <c r="AS492" i="1"/>
  <c r="AS703" i="1"/>
  <c r="F552" i="1"/>
  <c r="AY156" i="1"/>
  <c r="F170" i="1"/>
  <c r="S567" i="1"/>
  <c r="F592" i="1"/>
  <c r="AQ26" i="1"/>
  <c r="F313" i="1"/>
  <c r="S410" i="1"/>
  <c r="F441" i="1"/>
  <c r="S456" i="1"/>
  <c r="AT609" i="1"/>
  <c r="F637" i="1"/>
  <c r="GM119" i="1"/>
  <c r="GP119" i="1" s="1"/>
  <c r="BA26" i="1"/>
  <c r="F323" i="1"/>
  <c r="CE567" i="1"/>
  <c r="AV577" i="1"/>
  <c r="U335" i="1"/>
  <c r="F396" i="1"/>
  <c r="AL651" i="1"/>
  <c r="Y673" i="1"/>
  <c r="AE410" i="1"/>
  <c r="R426" i="1"/>
  <c r="AW156" i="1"/>
  <c r="F168" i="1"/>
  <c r="BD26" i="1"/>
  <c r="F328" i="1"/>
  <c r="BD733" i="1"/>
  <c r="AB426" i="1"/>
  <c r="Q567" i="1"/>
  <c r="F589" i="1"/>
  <c r="V492" i="1"/>
  <c r="F558" i="1"/>
  <c r="V703" i="1"/>
  <c r="O577" i="1"/>
  <c r="AB567" i="1"/>
  <c r="AV156" i="1"/>
  <c r="F167" i="1"/>
  <c r="AB124" i="1"/>
  <c r="F131" i="1"/>
  <c r="AX110" i="1"/>
  <c r="F580" i="1"/>
  <c r="P567" i="1"/>
  <c r="BD488" i="1"/>
  <c r="F728" i="1"/>
  <c r="F384" i="1"/>
  <c r="AQ335" i="1"/>
  <c r="T335" i="1"/>
  <c r="F395" i="1"/>
  <c r="CG609" i="1"/>
  <c r="AX619" i="1"/>
  <c r="AW267" i="1"/>
  <c r="F279" i="1"/>
  <c r="AX651" i="1"/>
  <c r="F680" i="1"/>
  <c r="AQ609" i="1"/>
  <c r="F629" i="1"/>
  <c r="Q492" i="1"/>
  <c r="F547" i="1"/>
  <c r="AQ492" i="1"/>
  <c r="F545" i="1"/>
  <c r="AQ703" i="1"/>
  <c r="AP703" i="1"/>
  <c r="AZ374" i="1"/>
  <c r="AZ339" i="1"/>
  <c r="F355" i="1"/>
  <c r="F443" i="1"/>
  <c r="AS456" i="1"/>
  <c r="AS410" i="1"/>
  <c r="X339" i="1"/>
  <c r="F370" i="1"/>
  <c r="X374" i="1"/>
  <c r="F359" i="1"/>
  <c r="S339" i="1"/>
  <c r="S374" i="1"/>
  <c r="AP456" i="1"/>
  <c r="F435" i="1"/>
  <c r="AP410" i="1"/>
  <c r="CE535" i="1"/>
  <c r="CF535" i="1"/>
  <c r="AC492" i="1"/>
  <c r="P535" i="1"/>
  <c r="CH535" i="1"/>
  <c r="CF110" i="1"/>
  <c r="AW124" i="1"/>
  <c r="BA456" i="1"/>
  <c r="F446" i="1"/>
  <c r="BA410" i="1"/>
  <c r="AS110" i="1"/>
  <c r="F141" i="1"/>
  <c r="R535" i="1"/>
  <c r="AE492" i="1"/>
  <c r="Q124" i="1"/>
  <c r="AD110" i="1"/>
  <c r="Q673" i="1"/>
  <c r="Q703" i="1" s="1"/>
  <c r="AD651" i="1"/>
  <c r="AK651" i="1"/>
  <c r="X673" i="1"/>
  <c r="BD406" i="1"/>
  <c r="F481" i="1"/>
  <c r="F477" i="1"/>
  <c r="T406" i="1"/>
  <c r="GP34" i="1"/>
  <c r="X30" i="1"/>
  <c r="F65" i="1"/>
  <c r="AE651" i="1"/>
  <c r="R673" i="1"/>
  <c r="T492" i="1"/>
  <c r="F556" i="1"/>
  <c r="T703" i="1"/>
  <c r="T733" i="1" s="1"/>
  <c r="AX231" i="1"/>
  <c r="F242" i="1"/>
  <c r="BA651" i="1"/>
  <c r="F693" i="1"/>
  <c r="BC26" i="1"/>
  <c r="F319" i="1"/>
  <c r="BC733" i="1"/>
  <c r="P110" i="1"/>
  <c r="F127" i="1"/>
  <c r="W110" i="1"/>
  <c r="F148" i="1"/>
  <c r="GP498" i="1"/>
  <c r="W673" i="1"/>
  <c r="AJ651" i="1"/>
  <c r="AZ30" i="1"/>
  <c r="F50" i="1"/>
  <c r="V456" i="1"/>
  <c r="V410" i="1"/>
  <c r="F449" i="1"/>
  <c r="GM499" i="1"/>
  <c r="GP499" i="1" s="1"/>
  <c r="AZ426" i="1"/>
  <c r="CI410" i="1"/>
  <c r="BA335" i="1"/>
  <c r="F394" i="1"/>
  <c r="AO406" i="1"/>
  <c r="F460" i="1"/>
  <c r="AV124" i="1"/>
  <c r="CE110" i="1"/>
  <c r="AT492" i="1"/>
  <c r="F553" i="1"/>
  <c r="AT703" i="1"/>
  <c r="T651" i="1"/>
  <c r="F694" i="1"/>
  <c r="P479" i="8" l="1"/>
  <c r="L479" i="8"/>
  <c r="L427" i="8"/>
  <c r="P427" i="8"/>
  <c r="K209" i="7"/>
  <c r="P209" i="7"/>
  <c r="P497" i="7"/>
  <c r="K497" i="7"/>
  <c r="P463" i="8"/>
  <c r="L463" i="8"/>
  <c r="K60" i="7"/>
  <c r="P60" i="7"/>
  <c r="L103" i="8"/>
  <c r="P103" i="8"/>
  <c r="K76" i="7"/>
  <c r="P76" i="7"/>
  <c r="I114" i="7" s="1"/>
  <c r="P489" i="7"/>
  <c r="K489" i="7"/>
  <c r="P455" i="8"/>
  <c r="L455" i="8"/>
  <c r="P279" i="8"/>
  <c r="L279" i="8"/>
  <c r="P273" i="7"/>
  <c r="K273" i="7"/>
  <c r="L533" i="8"/>
  <c r="P533" i="8"/>
  <c r="P504" i="7"/>
  <c r="K504" i="7"/>
  <c r="K428" i="7"/>
  <c r="P428" i="7"/>
  <c r="P104" i="7"/>
  <c r="K104" i="7"/>
  <c r="K97" i="7"/>
  <c r="P97" i="7"/>
  <c r="K421" i="7"/>
  <c r="P421" i="7"/>
  <c r="P371" i="8"/>
  <c r="L371" i="8"/>
  <c r="P503" i="8"/>
  <c r="L503" i="8"/>
  <c r="P457" i="7"/>
  <c r="K457" i="7"/>
  <c r="P231" i="7"/>
  <c r="I532" i="7" s="1"/>
  <c r="K231" i="7"/>
  <c r="P330" i="7"/>
  <c r="K330" i="7"/>
  <c r="P110" i="8"/>
  <c r="L110" i="8"/>
  <c r="P272" i="8"/>
  <c r="L272" i="8"/>
  <c r="K365" i="7"/>
  <c r="P365" i="7"/>
  <c r="P471" i="8"/>
  <c r="L471" i="8"/>
  <c r="K465" i="7"/>
  <c r="P465" i="7"/>
  <c r="K473" i="7"/>
  <c r="P473" i="7"/>
  <c r="P300" i="8"/>
  <c r="L300" i="8"/>
  <c r="L161" i="8"/>
  <c r="P161" i="8"/>
  <c r="J182" i="8" s="1"/>
  <c r="K449" i="7"/>
  <c r="P449" i="7"/>
  <c r="I529" i="7" s="1"/>
  <c r="P358" i="7"/>
  <c r="K358" i="7"/>
  <c r="L222" i="8"/>
  <c r="P222" i="8"/>
  <c r="K308" i="7"/>
  <c r="P308" i="7"/>
  <c r="P251" i="8"/>
  <c r="L251" i="8"/>
  <c r="L118" i="8"/>
  <c r="P118" i="8"/>
  <c r="Y619" i="1"/>
  <c r="P294" i="7"/>
  <c r="K294" i="7"/>
  <c r="P199" i="7"/>
  <c r="K199" i="7"/>
  <c r="P239" i="7"/>
  <c r="K239" i="7"/>
  <c r="L170" i="8"/>
  <c r="P170" i="8"/>
  <c r="P527" i="7"/>
  <c r="K527" i="7"/>
  <c r="P82" i="8"/>
  <c r="J123" i="8" s="1"/>
  <c r="L82" i="8"/>
  <c r="L215" i="8"/>
  <c r="P215" i="8"/>
  <c r="P447" i="8"/>
  <c r="L447" i="8"/>
  <c r="L205" i="8"/>
  <c r="P205" i="8"/>
  <c r="P112" i="7"/>
  <c r="K112" i="7"/>
  <c r="P216" i="7"/>
  <c r="K216" i="7"/>
  <c r="P518" i="8"/>
  <c r="L518" i="8"/>
  <c r="P93" i="8"/>
  <c r="L93" i="8"/>
  <c r="K245" i="7"/>
  <c r="P245" i="7"/>
  <c r="L487" i="8"/>
  <c r="P487" i="8"/>
  <c r="K164" i="7"/>
  <c r="P164" i="7"/>
  <c r="CA619" i="1"/>
  <c r="CA609" i="1" s="1"/>
  <c r="I179" i="7"/>
  <c r="I176" i="7"/>
  <c r="K342" i="7"/>
  <c r="P342" i="7"/>
  <c r="P131" i="7"/>
  <c r="K131" i="7"/>
  <c r="CD39" i="1"/>
  <c r="CD30" i="1" s="1"/>
  <c r="AK567" i="1"/>
  <c r="X577" i="1"/>
  <c r="P441" i="7"/>
  <c r="K441" i="7"/>
  <c r="CA577" i="1"/>
  <c r="CA567" i="1" s="1"/>
  <c r="P364" i="8"/>
  <c r="L364" i="8"/>
  <c r="P379" i="8"/>
  <c r="L379" i="8"/>
  <c r="P339" i="1"/>
  <c r="P374" i="1"/>
  <c r="F347" i="1"/>
  <c r="J237" i="8"/>
  <c r="P308" i="8"/>
  <c r="L308" i="8"/>
  <c r="L287" i="8"/>
  <c r="P287" i="8"/>
  <c r="P137" i="8"/>
  <c r="L137" i="8"/>
  <c r="P413" i="8"/>
  <c r="L413" i="8"/>
  <c r="K520" i="7"/>
  <c r="P520" i="7"/>
  <c r="K155" i="7"/>
  <c r="P155" i="7"/>
  <c r="P56" i="8"/>
  <c r="L56" i="8"/>
  <c r="P336" i="8"/>
  <c r="L336" i="8"/>
  <c r="AL567" i="1"/>
  <c r="Y577" i="1"/>
  <c r="P510" i="8"/>
  <c r="L510" i="8"/>
  <c r="CD535" i="1"/>
  <c r="AU535" i="1" s="1"/>
  <c r="AE30" i="1"/>
  <c r="R39" i="1"/>
  <c r="CA39" i="1"/>
  <c r="P260" i="7"/>
  <c r="K260" i="7"/>
  <c r="I50" i="7"/>
  <c r="CH339" i="1"/>
  <c r="AY344" i="1"/>
  <c r="AE567" i="1"/>
  <c r="F324" i="1"/>
  <c r="F559" i="1"/>
  <c r="CA673" i="1"/>
  <c r="CE339" i="1"/>
  <c r="AV344" i="1"/>
  <c r="AL30" i="1"/>
  <c r="Y39" i="1"/>
  <c r="Y303" i="1" s="1"/>
  <c r="P252" i="7"/>
  <c r="K252" i="7"/>
  <c r="J68" i="8"/>
  <c r="J245" i="8"/>
  <c r="P180" i="8"/>
  <c r="L180" i="8"/>
  <c r="AQ406" i="1"/>
  <c r="F466" i="1"/>
  <c r="P281" i="7"/>
  <c r="K281" i="7"/>
  <c r="K191" i="7"/>
  <c r="P191" i="7"/>
  <c r="L420" i="8"/>
  <c r="P420" i="8"/>
  <c r="AX456" i="1"/>
  <c r="F433" i="1"/>
  <c r="AX410" i="1"/>
  <c r="P495" i="8"/>
  <c r="L495" i="8"/>
  <c r="L66" i="8"/>
  <c r="P66" i="8"/>
  <c r="P414" i="7"/>
  <c r="I430" i="7" s="1"/>
  <c r="K414" i="7"/>
  <c r="Y426" i="1"/>
  <c r="AL410" i="1"/>
  <c r="AK410" i="1"/>
  <c r="X426" i="1"/>
  <c r="CD619" i="1"/>
  <c r="AQ733" i="1"/>
  <c r="L526" i="8"/>
  <c r="P526" i="8"/>
  <c r="L348" i="8"/>
  <c r="P348" i="8"/>
  <c r="P87" i="7"/>
  <c r="K87" i="7"/>
  <c r="P174" i="7"/>
  <c r="K174" i="7"/>
  <c r="K383" i="7"/>
  <c r="P383" i="7"/>
  <c r="P481" i="7"/>
  <c r="K481" i="7"/>
  <c r="Y344" i="1"/>
  <c r="AL339" i="1"/>
  <c r="P266" i="7"/>
  <c r="K266" i="7"/>
  <c r="L434" i="8"/>
  <c r="P434" i="8"/>
  <c r="CF339" i="1"/>
  <c r="AW344" i="1"/>
  <c r="CD673" i="1"/>
  <c r="L405" i="8"/>
  <c r="P405" i="8"/>
  <c r="J436" i="8" s="1"/>
  <c r="P302" i="7"/>
  <c r="K302" i="7"/>
  <c r="X26" i="1"/>
  <c r="F329" i="1"/>
  <c r="T22" i="1"/>
  <c r="T763" i="1"/>
  <c r="F754" i="1"/>
  <c r="Q488" i="1"/>
  <c r="F715" i="1"/>
  <c r="CD567" i="1"/>
  <c r="AU577" i="1"/>
  <c r="AB651" i="1"/>
  <c r="O673" i="1"/>
  <c r="P651" i="1"/>
  <c r="F676" i="1"/>
  <c r="S492" i="1"/>
  <c r="F550" i="1"/>
  <c r="S703" i="1"/>
  <c r="CF651" i="1"/>
  <c r="AW673" i="1"/>
  <c r="S26" i="1"/>
  <c r="F318" i="1"/>
  <c r="S733" i="1"/>
  <c r="Q110" i="1"/>
  <c r="F136" i="1"/>
  <c r="R410" i="1"/>
  <c r="F440" i="1"/>
  <c r="R456" i="1"/>
  <c r="AY673" i="1"/>
  <c r="CH651" i="1"/>
  <c r="F584" i="1"/>
  <c r="AX567" i="1"/>
  <c r="F479" i="1"/>
  <c r="V406" i="1"/>
  <c r="AQ488" i="1"/>
  <c r="F713" i="1"/>
  <c r="AO18" i="1"/>
  <c r="F767" i="1"/>
  <c r="CF609" i="1"/>
  <c r="AW619" i="1"/>
  <c r="R609" i="1"/>
  <c r="F633" i="1"/>
  <c r="AB609" i="1"/>
  <c r="O619" i="1"/>
  <c r="F381" i="1"/>
  <c r="AX335" i="1"/>
  <c r="CE410" i="1"/>
  <c r="AV426" i="1"/>
  <c r="BB22" i="1"/>
  <c r="F746" i="1"/>
  <c r="BB763" i="1"/>
  <c r="F585" i="1"/>
  <c r="AY567" i="1"/>
  <c r="AZ110" i="1"/>
  <c r="F135" i="1"/>
  <c r="R651" i="1"/>
  <c r="F687" i="1"/>
  <c r="AB110" i="1"/>
  <c r="O124" i="1"/>
  <c r="CD609" i="1"/>
  <c r="AU619" i="1"/>
  <c r="AP406" i="1"/>
  <c r="F465" i="1"/>
  <c r="F385" i="1"/>
  <c r="AZ335" i="1"/>
  <c r="Q609" i="1"/>
  <c r="F631" i="1"/>
  <c r="F622" i="1"/>
  <c r="P609" i="1"/>
  <c r="AV673" i="1"/>
  <c r="CE651" i="1"/>
  <c r="CA410" i="1"/>
  <c r="AR426" i="1"/>
  <c r="R110" i="1"/>
  <c r="F138" i="1"/>
  <c r="R567" i="1"/>
  <c r="F591" i="1"/>
  <c r="R492" i="1"/>
  <c r="F549" i="1"/>
  <c r="R703" i="1"/>
  <c r="AP488" i="1"/>
  <c r="F712" i="1"/>
  <c r="F626" i="1"/>
  <c r="AX609" i="1"/>
  <c r="F700" i="1"/>
  <c r="Y651" i="1"/>
  <c r="AP26" i="1"/>
  <c r="F312" i="1"/>
  <c r="AP733" i="1"/>
  <c r="CH609" i="1"/>
  <c r="AY619" i="1"/>
  <c r="CD410" i="1"/>
  <c r="AU426" i="1"/>
  <c r="F129" i="1"/>
  <c r="AV110" i="1"/>
  <c r="AZ303" i="1"/>
  <c r="S335" i="1"/>
  <c r="F389" i="1"/>
  <c r="F579" i="1"/>
  <c r="O567" i="1"/>
  <c r="AQ22" i="1"/>
  <c r="F743" i="1"/>
  <c r="AQ763" i="1"/>
  <c r="CD124" i="1"/>
  <c r="CE609" i="1"/>
  <c r="AV619" i="1"/>
  <c r="AX492" i="1"/>
  <c r="F542" i="1"/>
  <c r="AX703" i="1"/>
  <c r="BA703" i="1"/>
  <c r="BA733" i="1" s="1"/>
  <c r="F555" i="1"/>
  <c r="BA492" i="1"/>
  <c r="F726" i="1"/>
  <c r="V488" i="1"/>
  <c r="R374" i="1"/>
  <c r="F358" i="1"/>
  <c r="R339" i="1"/>
  <c r="CA124" i="1"/>
  <c r="Q303" i="1"/>
  <c r="AW567" i="1"/>
  <c r="F583" i="1"/>
  <c r="AU673" i="1"/>
  <c r="CD651" i="1"/>
  <c r="CH492" i="1"/>
  <c r="AY535" i="1"/>
  <c r="Y609" i="1"/>
  <c r="F646" i="1"/>
  <c r="AV535" i="1"/>
  <c r="CE492" i="1"/>
  <c r="Y110" i="1"/>
  <c r="F151" i="1"/>
  <c r="X609" i="1"/>
  <c r="F645" i="1"/>
  <c r="AT488" i="1"/>
  <c r="F721" i="1"/>
  <c r="U488" i="1"/>
  <c r="F725" i="1"/>
  <c r="BC22" i="1"/>
  <c r="F749" i="1"/>
  <c r="BC763" i="1"/>
  <c r="F132" i="1"/>
  <c r="AY110" i="1"/>
  <c r="W651" i="1"/>
  <c r="F697" i="1"/>
  <c r="T488" i="1"/>
  <c r="F724" i="1"/>
  <c r="CF492" i="1"/>
  <c r="AW535" i="1"/>
  <c r="X110" i="1"/>
  <c r="F150" i="1"/>
  <c r="AT22" i="1"/>
  <c r="AT763" i="1"/>
  <c r="F751" i="1"/>
  <c r="F16" i="2" s="1"/>
  <c r="F18" i="2" s="1"/>
  <c r="Q651" i="1"/>
  <c r="F685" i="1"/>
  <c r="F471" i="1"/>
  <c r="S406" i="1"/>
  <c r="P410" i="1"/>
  <c r="F429" i="1"/>
  <c r="P456" i="1"/>
  <c r="CA30" i="1"/>
  <c r="AR39" i="1"/>
  <c r="F582" i="1"/>
  <c r="AV567" i="1"/>
  <c r="P30" i="1"/>
  <c r="F42" i="1"/>
  <c r="P303" i="1"/>
  <c r="CA344" i="1"/>
  <c r="GP341" i="1"/>
  <c r="CD344" i="1" s="1"/>
  <c r="CA651" i="1"/>
  <c r="AR673" i="1"/>
  <c r="F476" i="1"/>
  <c r="BA406" i="1"/>
  <c r="X335" i="1"/>
  <c r="F400" i="1"/>
  <c r="CF30" i="1"/>
  <c r="AW39" i="1"/>
  <c r="O344" i="1"/>
  <c r="AB339" i="1"/>
  <c r="F478" i="1"/>
  <c r="U406" i="1"/>
  <c r="O492" i="1"/>
  <c r="F537" i="1"/>
  <c r="F130" i="1"/>
  <c r="AW110" i="1"/>
  <c r="U26" i="1"/>
  <c r="F325" i="1"/>
  <c r="U733" i="1"/>
  <c r="CE30" i="1"/>
  <c r="AV39" i="1"/>
  <c r="AX26" i="1"/>
  <c r="F310" i="1"/>
  <c r="AX733" i="1"/>
  <c r="W703" i="1"/>
  <c r="F588" i="1"/>
  <c r="AZ567" i="1"/>
  <c r="V26" i="1"/>
  <c r="F326" i="1"/>
  <c r="V733" i="1"/>
  <c r="F480" i="1"/>
  <c r="W406" i="1"/>
  <c r="CH30" i="1"/>
  <c r="AY39" i="1"/>
  <c r="AB410" i="1"/>
  <c r="O426" i="1"/>
  <c r="O30" i="1"/>
  <c r="O303" i="1"/>
  <c r="F41" i="1"/>
  <c r="AY426" i="1"/>
  <c r="CH410" i="1"/>
  <c r="Q335" i="1"/>
  <c r="F386" i="1"/>
  <c r="X492" i="1"/>
  <c r="F561" i="1"/>
  <c r="X703" i="1"/>
  <c r="CD492" i="1"/>
  <c r="X651" i="1"/>
  <c r="F699" i="1"/>
  <c r="P492" i="1"/>
  <c r="P703" i="1"/>
  <c r="F538" i="1"/>
  <c r="AS406" i="1"/>
  <c r="F473" i="1"/>
  <c r="BD22" i="1"/>
  <c r="BD763" i="1"/>
  <c r="F758" i="1"/>
  <c r="AS733" i="1"/>
  <c r="W26" i="1"/>
  <c r="F327" i="1"/>
  <c r="Q406" i="1"/>
  <c r="F468" i="1"/>
  <c r="CF410" i="1"/>
  <c r="AW426" i="1"/>
  <c r="AZ492" i="1"/>
  <c r="F546" i="1"/>
  <c r="AZ703" i="1"/>
  <c r="Y492" i="1"/>
  <c r="F562" i="1"/>
  <c r="AZ410" i="1"/>
  <c r="F437" i="1"/>
  <c r="AZ456" i="1"/>
  <c r="CA535" i="1"/>
  <c r="AS488" i="1"/>
  <c r="F720" i="1"/>
  <c r="R30" i="1" l="1"/>
  <c r="R303" i="1"/>
  <c r="F53" i="1"/>
  <c r="AR577" i="1"/>
  <c r="AR567" i="1" s="1"/>
  <c r="AX406" i="1"/>
  <c r="F463" i="1"/>
  <c r="X567" i="1"/>
  <c r="F603" i="1"/>
  <c r="J120" i="8"/>
  <c r="X456" i="1"/>
  <c r="X410" i="1"/>
  <c r="F452" i="1"/>
  <c r="Y410" i="1"/>
  <c r="F453" i="1"/>
  <c r="Y456" i="1"/>
  <c r="F604" i="1"/>
  <c r="Y567" i="1"/>
  <c r="I332" i="7"/>
  <c r="F352" i="1"/>
  <c r="AY374" i="1"/>
  <c r="AY339" i="1"/>
  <c r="I133" i="7"/>
  <c r="I136" i="7"/>
  <c r="AR619" i="1"/>
  <c r="P50" i="7"/>
  <c r="I538" i="7" s="1"/>
  <c r="K50" i="7"/>
  <c r="AW339" i="1"/>
  <c r="F350" i="1"/>
  <c r="AW374" i="1"/>
  <c r="P237" i="8"/>
  <c r="J538" i="8" s="1"/>
  <c r="L237" i="8"/>
  <c r="F377" i="1"/>
  <c r="P335" i="1"/>
  <c r="Y339" i="1"/>
  <c r="Y374" i="1"/>
  <c r="F371" i="1"/>
  <c r="F66" i="1"/>
  <c r="Y30" i="1"/>
  <c r="J139" i="8"/>
  <c r="J142" i="8"/>
  <c r="AU39" i="1"/>
  <c r="AU30" i="1" s="1"/>
  <c r="I385" i="7"/>
  <c r="J535" i="8"/>
  <c r="P245" i="8"/>
  <c r="L245" i="8"/>
  <c r="J185" i="8"/>
  <c r="F349" i="1"/>
  <c r="AV339" i="1"/>
  <c r="AV374" i="1"/>
  <c r="J391" i="8"/>
  <c r="Y703" i="1"/>
  <c r="Y488" i="1" s="1"/>
  <c r="J338" i="8"/>
  <c r="BA22" i="1"/>
  <c r="F753" i="1"/>
  <c r="BA763" i="1"/>
  <c r="F445" i="1"/>
  <c r="AU456" i="1"/>
  <c r="AU410" i="1"/>
  <c r="BB18" i="1"/>
  <c r="F776" i="1"/>
  <c r="F727" i="1"/>
  <c r="W488" i="1"/>
  <c r="AT18" i="1"/>
  <c r="F781" i="1"/>
  <c r="I22" i="7" s="1"/>
  <c r="AY410" i="1"/>
  <c r="F434" i="1"/>
  <c r="AY456" i="1"/>
  <c r="AR124" i="1"/>
  <c r="CA110" i="1"/>
  <c r="F431" i="1"/>
  <c r="AV456" i="1"/>
  <c r="AV410" i="1"/>
  <c r="AQ18" i="1"/>
  <c r="F773" i="1"/>
  <c r="AR456" i="1"/>
  <c r="AR410" i="1"/>
  <c r="F454" i="1"/>
  <c r="AV30" i="1"/>
  <c r="F44" i="1"/>
  <c r="AV303" i="1"/>
  <c r="F541" i="1"/>
  <c r="AW492" i="1"/>
  <c r="AW703" i="1"/>
  <c r="S488" i="1"/>
  <c r="F718" i="1"/>
  <c r="P488" i="1"/>
  <c r="F706" i="1"/>
  <c r="R335" i="1"/>
  <c r="F388" i="1"/>
  <c r="U22" i="1"/>
  <c r="F755" i="1"/>
  <c r="U763" i="1"/>
  <c r="F67" i="1"/>
  <c r="AR30" i="1"/>
  <c r="O609" i="1"/>
  <c r="F621" i="1"/>
  <c r="AY30" i="1"/>
  <c r="F47" i="1"/>
  <c r="AY303" i="1"/>
  <c r="P406" i="1"/>
  <c r="F459" i="1"/>
  <c r="F540" i="1"/>
  <c r="AV492" i="1"/>
  <c r="AV703" i="1"/>
  <c r="AV609" i="1"/>
  <c r="F624" i="1"/>
  <c r="AX22" i="1"/>
  <c r="AX763" i="1"/>
  <c r="F740" i="1"/>
  <c r="Q26" i="1"/>
  <c r="F315" i="1"/>
  <c r="Q733" i="1"/>
  <c r="AU609" i="1"/>
  <c r="F638" i="1"/>
  <c r="CD110" i="1"/>
  <c r="AU124" i="1"/>
  <c r="AW651" i="1"/>
  <c r="F679" i="1"/>
  <c r="O26" i="1"/>
  <c r="F305" i="1"/>
  <c r="O339" i="1"/>
  <c r="F346" i="1"/>
  <c r="O374" i="1"/>
  <c r="AP22" i="1"/>
  <c r="AP763" i="1"/>
  <c r="F742" i="1"/>
  <c r="G16" i="2" s="1"/>
  <c r="G18" i="2" s="1"/>
  <c r="O110" i="1"/>
  <c r="F126" i="1"/>
  <c r="AW30" i="1"/>
  <c r="F45" i="1"/>
  <c r="AW303" i="1"/>
  <c r="AW410" i="1"/>
  <c r="AW456" i="1"/>
  <c r="F432" i="1"/>
  <c r="O410" i="1"/>
  <c r="F428" i="1"/>
  <c r="O456" i="1"/>
  <c r="O733" i="1" s="1"/>
  <c r="AV651" i="1"/>
  <c r="F678" i="1"/>
  <c r="AR609" i="1"/>
  <c r="F647" i="1"/>
  <c r="W733" i="1"/>
  <c r="AU492" i="1"/>
  <c r="F554" i="1"/>
  <c r="AU703" i="1"/>
  <c r="AY651" i="1"/>
  <c r="F681" i="1"/>
  <c r="O651" i="1"/>
  <c r="F675" i="1"/>
  <c r="F701" i="1"/>
  <c r="AR651" i="1"/>
  <c r="AZ26" i="1"/>
  <c r="F314" i="1"/>
  <c r="AZ733" i="1"/>
  <c r="R406" i="1"/>
  <c r="F470" i="1"/>
  <c r="S22" i="1"/>
  <c r="F748" i="1"/>
  <c r="S763" i="1"/>
  <c r="T18" i="1"/>
  <c r="F784" i="1"/>
  <c r="F627" i="1"/>
  <c r="AY609" i="1"/>
  <c r="AZ488" i="1"/>
  <c r="F714" i="1"/>
  <c r="AR535" i="1"/>
  <c r="CA492" i="1"/>
  <c r="X488" i="1"/>
  <c r="F729" i="1"/>
  <c r="V22" i="1"/>
  <c r="V763" i="1"/>
  <c r="F756" i="1"/>
  <c r="F543" i="1"/>
  <c r="AY492" i="1"/>
  <c r="AY703" i="1"/>
  <c r="F596" i="1"/>
  <c r="AU567" i="1"/>
  <c r="AZ406" i="1"/>
  <c r="F467" i="1"/>
  <c r="AS22" i="1"/>
  <c r="AS763" i="1"/>
  <c r="F750" i="1"/>
  <c r="E16" i="2" s="1"/>
  <c r="Y26" i="1"/>
  <c r="F330" i="1"/>
  <c r="AU344" i="1"/>
  <c r="CD339" i="1"/>
  <c r="BC18" i="1"/>
  <c r="F779" i="1"/>
  <c r="BA488" i="1"/>
  <c r="F723" i="1"/>
  <c r="R488" i="1"/>
  <c r="F717" i="1"/>
  <c r="AW609" i="1"/>
  <c r="F625" i="1"/>
  <c r="O703" i="1"/>
  <c r="AR344" i="1"/>
  <c r="CA339" i="1"/>
  <c r="AX488" i="1"/>
  <c r="F710" i="1"/>
  <c r="BD18" i="1"/>
  <c r="F788" i="1"/>
  <c r="P26" i="1"/>
  <c r="F306" i="1"/>
  <c r="P733" i="1"/>
  <c r="AU651" i="1"/>
  <c r="F692" i="1"/>
  <c r="F379" i="1" l="1"/>
  <c r="AV335" i="1"/>
  <c r="F605" i="1"/>
  <c r="F730" i="1"/>
  <c r="F317" i="1"/>
  <c r="R26" i="1"/>
  <c r="R733" i="1"/>
  <c r="Y335" i="1"/>
  <c r="F401" i="1"/>
  <c r="X406" i="1"/>
  <c r="F482" i="1"/>
  <c r="X733" i="1"/>
  <c r="F380" i="1"/>
  <c r="AW335" i="1"/>
  <c r="I62" i="7"/>
  <c r="I535" i="7"/>
  <c r="I117" i="7"/>
  <c r="Y733" i="1"/>
  <c r="F760" i="1" s="1"/>
  <c r="F58" i="1"/>
  <c r="F483" i="1"/>
  <c r="Y406" i="1"/>
  <c r="J541" i="8"/>
  <c r="AY335" i="1"/>
  <c r="F382" i="1"/>
  <c r="J544" i="8"/>
  <c r="O22" i="1"/>
  <c r="F735" i="1"/>
  <c r="O763" i="1"/>
  <c r="AR374" i="1"/>
  <c r="F372" i="1"/>
  <c r="AR339" i="1"/>
  <c r="AW406" i="1"/>
  <c r="F462" i="1"/>
  <c r="O488" i="1"/>
  <c r="F705" i="1"/>
  <c r="AY406" i="1"/>
  <c r="F464" i="1"/>
  <c r="AW26" i="1"/>
  <c r="F309" i="1"/>
  <c r="AW733" i="1"/>
  <c r="AU110" i="1"/>
  <c r="F143" i="1"/>
  <c r="AU303" i="1"/>
  <c r="U18" i="1"/>
  <c r="F785" i="1"/>
  <c r="E18" i="2"/>
  <c r="AR110" i="1"/>
  <c r="F152" i="1"/>
  <c r="AR303" i="1"/>
  <c r="AR406" i="1"/>
  <c r="F484" i="1"/>
  <c r="AU488" i="1"/>
  <c r="F722" i="1"/>
  <c r="AR492" i="1"/>
  <c r="F563" i="1"/>
  <c r="AR703" i="1"/>
  <c r="AS18" i="1"/>
  <c r="F780" i="1"/>
  <c r="I21" i="7" s="1"/>
  <c r="AY488" i="1"/>
  <c r="F711" i="1"/>
  <c r="P22" i="1"/>
  <c r="F736" i="1"/>
  <c r="P763" i="1"/>
  <c r="F458" i="1"/>
  <c r="O406" i="1"/>
  <c r="AV26" i="1"/>
  <c r="F308" i="1"/>
  <c r="AV733" i="1"/>
  <c r="AV488" i="1"/>
  <c r="F708" i="1"/>
  <c r="S18" i="1"/>
  <c r="F778" i="1"/>
  <c r="Q22" i="1"/>
  <c r="F745" i="1"/>
  <c r="Q763" i="1"/>
  <c r="V18" i="1"/>
  <c r="F786" i="1"/>
  <c r="W22" i="1"/>
  <c r="W763" i="1"/>
  <c r="F757" i="1"/>
  <c r="F363" i="1"/>
  <c r="AU374" i="1"/>
  <c r="AU339" i="1"/>
  <c r="AP18" i="1"/>
  <c r="F772" i="1"/>
  <c r="I23" i="7" s="1"/>
  <c r="F475" i="1"/>
  <c r="AU406" i="1"/>
  <c r="O335" i="1"/>
  <c r="F376" i="1"/>
  <c r="AX18" i="1"/>
  <c r="F770" i="1"/>
  <c r="AY26" i="1"/>
  <c r="F311" i="1"/>
  <c r="AY733" i="1"/>
  <c r="F461" i="1"/>
  <c r="AV406" i="1"/>
  <c r="BA18" i="1"/>
  <c r="F783" i="1"/>
  <c r="AZ22" i="1"/>
  <c r="F744" i="1"/>
  <c r="AZ763" i="1"/>
  <c r="AW488" i="1"/>
  <c r="F709" i="1"/>
  <c r="F759" i="1" l="1"/>
  <c r="X763" i="1"/>
  <c r="X22" i="1"/>
  <c r="Y763" i="1"/>
  <c r="Y18" i="1" s="1"/>
  <c r="Y22" i="1"/>
  <c r="F747" i="1"/>
  <c r="J16" i="2" s="1"/>
  <c r="J18" i="2" s="1"/>
  <c r="R763" i="1"/>
  <c r="R22" i="1"/>
  <c r="Q18" i="1"/>
  <c r="F775" i="1"/>
  <c r="AZ18" i="1"/>
  <c r="F774" i="1"/>
  <c r="AU26" i="1"/>
  <c r="F322" i="1"/>
  <c r="AU733" i="1"/>
  <c r="AR335" i="1"/>
  <c r="F402" i="1"/>
  <c r="O18" i="1"/>
  <c r="F765" i="1"/>
  <c r="AR488" i="1"/>
  <c r="F731" i="1"/>
  <c r="AW22" i="1"/>
  <c r="F739" i="1"/>
  <c r="AW763" i="1"/>
  <c r="F790" i="1"/>
  <c r="AU335" i="1"/>
  <c r="F393" i="1"/>
  <c r="AV22" i="1"/>
  <c r="F738" i="1"/>
  <c r="AV763" i="1"/>
  <c r="AY22" i="1"/>
  <c r="F741" i="1"/>
  <c r="AY763" i="1"/>
  <c r="W18" i="1"/>
  <c r="F787" i="1"/>
  <c r="AR26" i="1"/>
  <c r="F331" i="1"/>
  <c r="AR733" i="1"/>
  <c r="P18" i="1"/>
  <c r="F766" i="1"/>
  <c r="F789" i="1" l="1"/>
  <c r="X18" i="1"/>
  <c r="F777" i="1"/>
  <c r="I25" i="7" s="1"/>
  <c r="R18" i="1"/>
  <c r="AR22" i="1"/>
  <c r="F761" i="1"/>
  <c r="AR763" i="1"/>
  <c r="AY18" i="1"/>
  <c r="F771" i="1"/>
  <c r="AV18" i="1"/>
  <c r="F768" i="1"/>
  <c r="AW18" i="1"/>
  <c r="F769" i="1"/>
  <c r="AU22" i="1"/>
  <c r="F752" i="1"/>
  <c r="H16" i="2" s="1"/>
  <c r="AU763" i="1"/>
  <c r="AU18" i="1" l="1"/>
  <c r="F782" i="1"/>
  <c r="I24" i="7" s="1"/>
  <c r="H18" i="2"/>
  <c r="I16" i="2"/>
  <c r="I18" i="2" s="1"/>
  <c r="AR18" i="1"/>
  <c r="F791" i="1"/>
  <c r="F792" i="1" l="1"/>
  <c r="H31" i="8"/>
  <c r="F794" i="1" l="1"/>
  <c r="J546" i="8"/>
  <c r="I540" i="7"/>
  <c r="J545" i="8"/>
  <c r="I539" i="7"/>
  <c r="J547" i="8" l="1"/>
  <c r="I541" i="7"/>
  <c r="I20" i="7" s="1"/>
</calcChain>
</file>

<file path=xl/sharedStrings.xml><?xml version="1.0" encoding="utf-8"?>
<sst xmlns="http://schemas.openxmlformats.org/spreadsheetml/2006/main" count="11940" uniqueCount="591">
  <si>
    <t>Smeta.RU  (495) 974-1589</t>
  </si>
  <si>
    <t>_PS_</t>
  </si>
  <si>
    <t>Smeta.RU</t>
  </si>
  <si>
    <t/>
  </si>
  <si>
    <t>Паркинг 2_на 4 мес. (10%)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</si>
  <si>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</si>
  <si>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</si>
  <si>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</si>
  <si>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</si>
  <si>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</si>
  <si>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</si>
  <si>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</si>
  <si>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</si>
  <si>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Водоснабжение и водоотведение</t>
  </si>
  <si>
    <t>Новый подраздел</t>
  </si>
  <si>
    <t>Водоснабжение В1,ТЗ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</si>
  <si>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</si>
  <si>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</si>
  <si>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</si>
  <si>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</si>
  <si>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)*12</t>
  </si>
  <si>
    <t>СН-2012</t>
  </si>
  <si>
    <t>Подрядные работы, гл. 1-5,7</t>
  </si>
  <si>
    <t>работа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</si>
  <si>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</si>
  <si>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</si>
  <si>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</si>
  <si>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</si>
  <si>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</si>
  <si>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1</t>
  </si>
  <si>
    <t>1.15-2203-7-2/1</t>
  </si>
  <si>
    <t>Техническое обслуживание крана шарового латунного никелированного диаметром до 50 мм (Ду32)</t>
  </si>
  <si>
    <t>10 шт.</t>
  </si>
  <si>
    <t>СН-2012.1 Выпуск № 5 (в текущих ценах по состоянию на 01.10.2025 г.). 1.15-2203-7-2/1</t>
  </si>
  <si>
    <t>2</t>
  </si>
  <si>
    <t>1.15-2203-7-1/1</t>
  </si>
  <si>
    <t>Техническое обслуживание крана шарового латунного никелированного диаметром до 25 мм (Ду15; Ду25)</t>
  </si>
  <si>
    <t>СН-2012.1 Выпуск № 5 (в текущих ценах по состоянию на 01.10.2025 г.). 1.15-2203-7-1/1</t>
  </si>
  <si>
    <t>3</t>
  </si>
  <si>
    <t>1.21-2303-24-1/1</t>
  </si>
  <si>
    <t>Техническое обслуживание электроводонагревателей объемом до 80 литров/ Электроводонагреватель накопительного типа   V=50л, 1,50 кВт 220 В</t>
  </si>
  <si>
    <t>СН-2012.1 Выпуск № 5 (в текущих ценах по состоянию на 01.10.2025 г.). 1.21-2303-24-1/1</t>
  </si>
  <si>
    <t>Осмотр магистральных неизолированных внутренних трубопроводов диаметром до 100 мм / Труба для водоснабжения из ПЭ 100 SDR 17 1,0 Мпа Ду40х2,4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</si>
  <si>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</si>
  <si>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</si>
  <si>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</si>
  <si>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</si>
  <si>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</si>
  <si>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</si>
  <si>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</si>
  <si>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</si>
  <si>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</si>
  <si>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</si>
  <si>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</si>
  <si>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</si>
  <si>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</si>
  <si>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</si>
  <si>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</si>
  <si>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</si>
  <si>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</si>
  <si>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</si>
  <si>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</si>
  <si>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</si>
  <si>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</si>
  <si>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</si>
  <si>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</si>
  <si>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</si>
  <si>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</si>
  <si>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</si>
  <si>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</si>
  <si>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</si>
  <si>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</si>
  <si>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</si>
  <si>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</si>
  <si>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</si>
  <si>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</si>
  <si>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</si>
  <si>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</si>
  <si>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</si>
  <si>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</si>
  <si>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</si>
  <si>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</si>
  <si>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</si>
  <si>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</si>
  <si>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</si>
  <si>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</si>
  <si>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</si>
  <si>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</si>
  <si>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</si>
  <si>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</si>
  <si>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</si>
  <si>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</si>
  <si>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</si>
  <si>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</si>
  <si>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</si>
  <si>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</si>
  <si>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</si>
  <si>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Канализация К1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</si>
  <si>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</si>
  <si>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</si>
  <si>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</si>
  <si>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</si>
  <si>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</si>
  <si>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</si>
  <si>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*4</t>
  </si>
  <si>
    <t>Сантехприборы и оборудование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</si>
  <si>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</si>
  <si>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</si>
  <si>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</si>
  <si>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</si>
  <si>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1.16-2201-1-2/1</t>
  </si>
  <si>
    <t>Осмотры санитарно-технических приборов и трубопроводов в туалетах общественных зданий - добавлять на осмотр каждого унитаза сверх одного / Унитаз медицинский для ММГН</t>
  </si>
  <si>
    <t>СН-2012.1 Выпуск № 5 (в текущих ценах по состоянию на 01.10.2025 г.). 1.16-2201-1-2/1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</si>
  <si>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</si>
  <si>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</si>
  <si>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</si>
  <si>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Мойка стальная из нж. стали 600х420 глубокая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</si>
  <si>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Поддон акриловый 800х800</t>
  </si>
  <si>
    <t>4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</si>
  <si>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</si>
  <si>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</si>
  <si>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</si>
  <si>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</si>
  <si>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5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</si>
  <si>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</si>
  <si>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</si>
  <si>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</si>
  <si>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6</t>
  </si>
  <si>
    <t>1.23-2103-41-1/1</t>
  </si>
  <si>
    <t>Техническое обслуживание регулирующего клапана / Смеситель для душа; Смеситель для мойки; Смеситель для умывальников</t>
  </si>
  <si>
    <t>СН-2012.1 Выпуск № 5 (в текущих ценах по состоянию на 01.10.2025 г.). 1.23-2103-41-1/1</t>
  </si>
  <si>
    <t>7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</si>
  <si>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</si>
  <si>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</si>
  <si>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</si>
  <si>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</si>
  <si>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8</t>
  </si>
  <si>
    <t>1.16-2203-1-1/1</t>
  </si>
  <si>
    <t>Прочистка сифонов</t>
  </si>
  <si>
    <t>СН-2012.1 Выпуск № 5 (в текущих ценах по состоянию на 01.10.2025 г.). 1.16-2203-1-1/1</t>
  </si>
  <si>
    <t>Прочистка сифонов умывальников и моек</t>
  </si>
  <si>
    <t>Внутренний водосток (ливневая канализация) К2</t>
  </si>
  <si>
    <t>1.16-2201-2-2/1</t>
  </si>
  <si>
    <t>Осмотр трапа ТП диаметром 100 мм  //  Воронка кровельная</t>
  </si>
  <si>
    <t>СН-2012.1 Выпуск № 5 (в текущих ценах по состоянию на 01.10.2025 г.). 1.16-2201-2-2/1</t>
  </si>
  <si>
    <t>Дождеприемники</t>
  </si>
  <si>
    <t>Осмотр трапа ТП диаметром 100 мм  //  Чугунная решетка для дождеприемника</t>
  </si>
  <si>
    <t>Система кольцевого дренажа</t>
  </si>
  <si>
    <t>1.15-2101-1-2/1</t>
  </si>
  <si>
    <t>Осмотр магистральных неизолированных внутренних трубопроводов диаметром до 300 мм</t>
  </si>
  <si>
    <t>СН-2012.1 Выпуск № 5 (в текущих ценах по состоянию на 01.10.2025 г.). 1.15-2101-1-2/1</t>
  </si>
  <si>
    <t>К2</t>
  </si>
  <si>
    <t>)*11</t>
  </si>
  <si>
    <t>*12</t>
  </si>
  <si>
    <t>Внутренние сети отопления</t>
  </si>
  <si>
    <t>Отопление</t>
  </si>
  <si>
    <t>9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</si>
  <si>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</si>
  <si>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</si>
  <si>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</si>
  <si>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</si>
  <si>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</si>
  <si>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</si>
  <si>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</si>
  <si>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Вентиляция и кондиционирование</t>
  </si>
  <si>
    <t>Вентиляция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</si>
  <si>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</si>
  <si>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</si>
  <si>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</si>
  <si>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</si>
  <si>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</si>
  <si>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</si>
  <si>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</si>
  <si>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1.18-2403-10-1/1</t>
  </si>
  <si>
    <t>Техническое обслуживание в течение года вытяжных установок с осевыми вентиляторами производительностью по воздуху до 5000 м3/ч</t>
  </si>
  <si>
    <t>установка</t>
  </si>
  <si>
    <t>СН-2012.1 Выпуск № 5 (в текущих ценах по состоянию на 01.10.2025 г.). 1.18-2403-10-1/1</t>
  </si>
  <si>
    <t>10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</si>
  <si>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</si>
  <si>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</si>
  <si>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</si>
  <si>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)*2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</si>
  <si>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</si>
  <si>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</si>
  <si>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</si>
  <si>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</si>
  <si>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</si>
  <si>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</si>
  <si>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11</t>
  </si>
  <si>
    <t>1.18-2403-16-1/1</t>
  </si>
  <si>
    <t>Очистка вытяжных установок производительностью до 5000 м3/ч</t>
  </si>
  <si>
    <t>СН-2012.1 Выпуск № 5 (в текущих ценах по состоянию на 01.10.2025 г.). 1.18-2403-16-1/1</t>
  </si>
  <si>
    <t>12</t>
  </si>
  <si>
    <t>Техническое обслуживание регулирующего клапана / Заслонки с ручным управлением круглого сечения ( DN315)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</si>
  <si>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</si>
  <si>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</si>
  <si>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</si>
  <si>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13</t>
  </si>
  <si>
    <t>1.18-2203-3-6/1</t>
  </si>
  <si>
    <t>Техническое обслуживание клапанов воздушных регулирующих с ручным приводом диаметром/периметром до 560/1600 мм</t>
  </si>
  <si>
    <t>СН-2012.1 Выпуск № 5 (в текущих ценах по состоянию на 01.10.2025 г.). 1.18-2203-3-6/1</t>
  </si>
  <si>
    <t>1.18-2501-2-1/1</t>
  </si>
  <si>
    <t>Технический осмотр клапанов воздушных регулирующих с ручным приводом с передвижных подмостей, клапан периметром до 1600 мм</t>
  </si>
  <si>
    <t>СН-2012.1 Выпуск № 5 (в текущих ценах по состоянию на 01.10.2025 г.). 1.18-2501-2-1/1</t>
  </si>
  <si>
    <t>Электроснабжение и электроосвещение</t>
  </si>
  <si>
    <t>Оборудование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</si>
  <si>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</si>
  <si>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</t>
  </si>
  <si>
    <t>СН-2012.1 Выпуск № 5 (в текущих ценах по состоянию на 01.10.2025 г.). 1.21-2201-23-1/1</t>
  </si>
  <si>
    <t>)*118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</si>
  <si>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</si>
  <si>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</t>
  </si>
  <si>
    <t>СН-2012.1 Выпуск № 5 (в текущих ценах по состоянию на 01.10.2025 г.). 1.21-2201-23-2/1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</si>
  <si>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</si>
  <si>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</si>
  <si>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</si>
  <si>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)*353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</si>
  <si>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</si>
  <si>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</si>
  <si>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</si>
  <si>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14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</si>
  <si>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</si>
  <si>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</si>
  <si>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</si>
  <si>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15</t>
  </si>
  <si>
    <t>1.21-2303-3-1/1</t>
  </si>
  <si>
    <t>Техническое обслуживание выключателей автоматических трехполюсных установочных, номинальный ток до 200 А,</t>
  </si>
  <si>
    <t>СН-2012.1 Выпуск № 5 (в текущих ценах по состоянию на 01.10.2025 г.). 1.21-2303-3-1/1</t>
  </si>
  <si>
    <t>1.21-2301-3-1/1</t>
  </si>
  <si>
    <t>Технический осмотр выключателей автоматических трехполюсных установочных, номинальный ток до 200 А</t>
  </si>
  <si>
    <t>СН-2012.1 Выпуск № 5 (в текущих ценах по состоянию на 01.10.2025 г.). 1.21-2301-3-1/1</t>
  </si>
  <si>
    <t>1.21-2201-30-1/1</t>
  </si>
  <si>
    <t>Технический осмотр шкафа устройства автоматического включения резервного питания (АВР) - ежедневный</t>
  </si>
  <si>
    <t>СН-2012.1 Выпуск № 5 (в текущих ценах по состоянию на 01.10.2025 г.). 1.21-2201-30-1/1</t>
  </si>
  <si>
    <t>1.21-2201-30-2/1</t>
  </si>
  <si>
    <t>Технический осмотр шкафа устройства автоматического включения резервного питания (АВР) - ежемесячный</t>
  </si>
  <si>
    <t>СН-2012.1 Выпуск № 5 (в текущих ценах по состоянию на 01.10.2025 г.). 1.21-2201-30-2/1</t>
  </si>
  <si>
    <t>16</t>
  </si>
  <si>
    <t>1.21-2203-19-1/1</t>
  </si>
  <si>
    <t>Техническое обслуживание шкафа устройства автоматического включения резерва (АВР) с основным и резервным вводом</t>
  </si>
  <si>
    <t>СН-2012.1 Выпуск № 5 (в текущих ценах по состоянию на 01.10.2025 г.). 1.21-2203-19-1/1</t>
  </si>
  <si>
    <t>17</t>
  </si>
  <si>
    <t>18</t>
  </si>
  <si>
    <t>3.1-2201-58-1/1</t>
  </si>
  <si>
    <t>Технический осмотр шкафа навесного 700х1200, 300х400 /Корпус металлический навесной, 15 модулей, шины N и PE, замок</t>
  </si>
  <si>
    <t>СН-2012.3 Выпуск № 5 (в текущих ценах по состоянию на 01.10.2025 г.). 3.1-2201-58-1/1</t>
  </si>
  <si>
    <t>19</t>
  </si>
  <si>
    <t>1.21-2303-28-1/1</t>
  </si>
  <si>
    <t>Техническое обслуживание автоматического выключателя до 160 А</t>
  </si>
  <si>
    <t>СН-2012.1 Выпуск № 5 (в текущих ценах по состоянию на 01.10.2025 г.). 1.21-2303-28-1/1</t>
  </si>
  <si>
    <t>Технический осмотр шкафа навесного 700х1200, 300х400 /Корпус металлический навесной, 30 модулей, шины N и PE, замок</t>
  </si>
  <si>
    <t>20</t>
  </si>
  <si>
    <t>1.21-2301-28-1/1</t>
  </si>
  <si>
    <t>Осмотр расцепителя напряжения независимого - ежемесячный</t>
  </si>
  <si>
    <t>СН-2012.1 Выпуск № 5 (в текущих ценах по состоянию на 01.10.2025 г.). 1.21-2301-28-1/1</t>
  </si>
  <si>
    <t>21</t>
  </si>
  <si>
    <t>1.21-2303-49-1/1</t>
  </si>
  <si>
    <t>Техническое обслуживание расцепителя напряжения независимого - полугодовое</t>
  </si>
  <si>
    <t>СН-2012.1 Выпуск № 5 (в текущих ценах по состоянию на 01.10.2025 г.). 1.21-2303-49-1/1</t>
  </si>
  <si>
    <t>22</t>
  </si>
  <si>
    <t>Технический осмотр шкафа навесного 700х1200, 300х400 /Корпус металлический навесной, 30 модулей, шины N и PE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</si>
  <si>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</si>
  <si>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</si>
  <si>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</si>
  <si>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</si>
  <si>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</si>
  <si>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</si>
  <si>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</si>
  <si>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</si>
  <si>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</si>
  <si>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</si>
  <si>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</si>
  <si>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</si>
  <si>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 - шкафы, пульты управления, автоматизированные рабочие места/Шкаф управления TM AWADA в сборе</t>
  </si>
  <si>
    <t>СН-2012.1 Выпуск № 5 (в текущих ценах по состоянию на 01.10.2025 г.). 1.23-2303-5-1/1</t>
  </si>
  <si>
    <t>Осветительная арматура</t>
  </si>
  <si>
    <t>34</t>
  </si>
  <si>
    <t>1.20-2103-25-1/1</t>
  </si>
  <si>
    <t>СН-2012.1 Выпуск № 5 (в текущих ценах по состоянию на 01.10.2025 г.). 1.20-2103-25-1/1</t>
  </si>
  <si>
    <t>Поправка: СН-2012. Гл.1 Сб.20 п.3. 1 Наименование: При работах, которые производятся на высоте свыше 2 м от пола от 2 до 8 м</t>
  </si>
  <si>
    <t>*1,04</t>
  </si>
  <si>
    <t>Поправка: СН-2012. Гл.1 Сб.20 п.3. 1</t>
  </si>
  <si>
    <t>35</t>
  </si>
  <si>
    <t>1.20-2103-12-2/1</t>
  </si>
  <si>
    <t>СН-2012.1 Выпуск № 5 (в текущих ценах по состоянию на 01.10.2025 г.). 1.20-2103-12-2/1</t>
  </si>
  <si>
    <t>36</t>
  </si>
  <si>
    <t>1.20-2103-20-1/1</t>
  </si>
  <si>
    <t>Техническое обслуживание датчика движения инфракрасного, встраиваемого в подвесной потолок, для управления освещением - ежемесячное</t>
  </si>
  <si>
    <t>СН-2012.1 Выпуск № 5 (в текущих ценах по состоянию на 01.10.2025 г.). 1.20-2103-20-1/1</t>
  </si>
  <si>
    <t>37</t>
  </si>
  <si>
    <t>1.20-2103-15-2/1</t>
  </si>
  <si>
    <t>Техническое обслуживание светильника светодиодного типа «Титан» аварийного освещения - полугодовое / Светодиодный светильник VARTON Айрон 2.0 28 Вт 5000 K 906х109х66 мм класс защиты IP67 с рассеивателем опал аварийный автономный постоянного действия</t>
  </si>
  <si>
    <t>СН-2012.1 Выпуск № 5 (в текущих ценах по состоянию на 01.10.2025 г.). 1.20-2103-15-2/1</t>
  </si>
  <si>
    <t>)*1,04</t>
  </si>
  <si>
    <t>38</t>
  </si>
  <si>
    <t>3.1-2301-5-1/1</t>
  </si>
  <si>
    <t>Осмотр монитор/ Сенсорная панель AWADA 15,6"</t>
  </si>
  <si>
    <t>СН-2012.3 Выпуск № 5 (в текущих ценах по состоянию на 01.10.2025 г.). 3.1-2301-5-1/1</t>
  </si>
  <si>
    <t>39</t>
  </si>
  <si>
    <t>3.1-2303-6-1/1</t>
  </si>
  <si>
    <t>Техническое обслуживание монитора/ Сенсорная панель AWADA 15,6"</t>
  </si>
  <si>
    <t>СН-2012.3 Выпуск № 5 (в текущих ценах по состоянию на 01.10.2025 г.). 3.1-2303-6-1/1</t>
  </si>
  <si>
    <t>Электроустановочные изделия</t>
  </si>
  <si>
    <t>40</t>
  </si>
  <si>
    <t>1.23-2103-6-1/1</t>
  </si>
  <si>
    <t>Техническое обслуживание выключателей поплавковых /Выключатель одноклавишный IP20 10А 250В винтовые зажимы накладной монтаж - чёрный матовый Legrand Quteo</t>
  </si>
  <si>
    <t>СН-2012.1 Выпуск № 5 (в текущих ценах по состоянию на 01.10.2025 г.). 1.23-2103-6-1/1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</si>
  <si>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</si>
  <si>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</si>
  <si>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</si>
  <si>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</si>
  <si>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</si>
  <si>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</si>
  <si>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41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</si>
  <si>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</si>
  <si>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</si>
  <si>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</si>
  <si>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42</t>
  </si>
  <si>
    <t>1.21-2303-31-1/1</t>
  </si>
  <si>
    <t>Техническое обслуживание коробки клеммной соединительной, с количеством клемм до 20 /PLEXO Коробка нар 180x140x86 IP55 с замк</t>
  </si>
  <si>
    <t>СН-2012.1 Выпуск № 5 (в текущих ценах по состоянию на 01.10.2025 г.). 1.21-2303-31-1/1</t>
  </si>
  <si>
    <t>43</t>
  </si>
  <si>
    <t>Техническое обслуживание коробки клеммной соединительной, с количеством клемм до 20 /Коробка распаечная 100х100мм, IP54, черный</t>
  </si>
  <si>
    <t>44</t>
  </si>
  <si>
    <t>Техническое обслуживание коробки клеммной соединительной, с количеством клемм до 20 /Коробка распаячная для открытой проводки 100х100х50мм IP67</t>
  </si>
  <si>
    <t>Кабели и провода</t>
  </si>
  <si>
    <t>45</t>
  </si>
  <si>
    <t>1.21-2103-9-1/1</t>
  </si>
  <si>
    <t>Техническое обслуживание силовых сетей, проложенных по кирпичным и бетонным основаниям, провод сечением 2х1,5-6 мм2 (2х1,5)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</si>
  <si>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</si>
  <si>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</si>
  <si>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  (2х1,5)</t>
  </si>
  <si>
    <t>СН-2012.1 Выпуск № 5 (в текущих ценах по состоянию на 01.10.2025 г.). 1.21-2101-1-1/1</t>
  </si>
  <si>
    <t>46</t>
  </si>
  <si>
    <t>1.21-2103-9-2/1</t>
  </si>
  <si>
    <t>Техническое обслуживание силовых сетей, проложенных по кирпичным и бетонным основаниям, провод сечением 3х1,5-6 мм2 ( 3х2,5 ; 3х4  )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</si>
  <si>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</si>
  <si>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</si>
  <si>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( 3х2,5 ; 3х4 )</t>
  </si>
  <si>
    <t>СН-2012.1 Выпуск № 5 (в текущих ценах по состоянию на 01.10.2025 г.). 1.21-2101-1-2/1</t>
  </si>
  <si>
    <t>47</t>
  </si>
  <si>
    <t>1.21-2103-9-3/1</t>
  </si>
  <si>
    <t>Техническое обслуживание силовых сетей, проложенных по кирпичным и бетонным основаниям, провод сечением 4х1,5-6 мм2 (4х2,5)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</si>
  <si>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</si>
  <si>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</si>
  <si>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  (4х2,5)</t>
  </si>
  <si>
    <t>СН-2012.1 Выпуск № 5 (в текущих ценах по состоянию на 01.10.2025 г.). 1.21-2101-1-3/1</t>
  </si>
  <si>
    <t>48</t>
  </si>
  <si>
    <t>Техническое обслуживание силовых сетей, проложенных по кирпичным и бетонным основаниям, провод сечением 4х1,5-6 мм2 ( 5х4, 5х6)</t>
  </si>
  <si>
    <t>Технический осмотр силовых сетей, проложенных по кирпичным и бетонным основаниям, провод сечением 4х1,5-6 мм2 ( 5х4, 5х6)</t>
  </si>
  <si>
    <t>49</t>
  </si>
  <si>
    <t>1.21-2103-9-5/1</t>
  </si>
  <si>
    <t>Техническое обслуживание силовых сетей, проложенных по кирпичным и бетонным основаниям, провод сечением 3х10-16 мм2 (5х10)</t>
  </si>
  <si>
    <t>СН-2012.1 Выпуск № 5 (в текущих ценах по состоянию на 01.10.2025 г.). 1.21-2103-9-5/1</t>
  </si>
  <si>
    <t>1.21-2101-1-5/1</t>
  </si>
  <si>
    <t>Технический осмотр силовых сетей, проложенных по кирпичным и бетонным основаниям, провод сечением 3х10-16 мм2 (5х10)</t>
  </si>
  <si>
    <t>СН-2012.1 Выпуск № 5 (в текущих ценах по состоянию на 01.10.2025 г.). 1.21-2101-1-5/1</t>
  </si>
  <si>
    <t>50</t>
  </si>
  <si>
    <t>1.21-2103-9-7/1</t>
  </si>
  <si>
    <t>Техническое обслуживание силовых сетей, проложенных по кирпичным и бетонным основаниям, провод сечением 3х25-35 мм2 (5х25, 5х35)</t>
  </si>
  <si>
    <t>СН-2012.1 Выпуск № 5 (в текущих ценах по состоянию на 01.10.2025 г.). 1.21-2103-9-7/1</t>
  </si>
  <si>
    <t>51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</si>
  <si>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</si>
  <si>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 (5х25, 5х35)</t>
  </si>
  <si>
    <t>СН-2012.1 Выпуск № 5 (в текущих ценах по состоянию на 01.10.2025 г.). 1.21-2103-9-8/1</t>
  </si>
  <si>
    <t>1.21-2101-1-7/1</t>
  </si>
  <si>
    <t>Технический осмотр силовых сетей, проложенных по кирпичным и бетонным основаниям, провод сечением 3х25-35 мм2  (5х25, 5х35)</t>
  </si>
  <si>
    <t>СН-2012.1 Выпуск № 5 (в текущих ценах по состоянию на 01.10.2025 г.). 1.21-2101-1-7/1</t>
  </si>
  <si>
    <t>52</t>
  </si>
  <si>
    <t>Техническое обслуживание силовых сетей, проложенных по кирпичным и бетонным основаниям, провод сечением 2х1,5-6 мм2 (Провод медный желто-зеленый ПуГВ 1х6)</t>
  </si>
  <si>
    <t>Технический осмотр силовых сетей, проложенных по кирпичным и бетонным основаниям, провод сечением 2х1,5-6 мм2  (Провод медный желто-зеленый ПуГВ 1х6)</t>
  </si>
  <si>
    <t>53</t>
  </si>
  <si>
    <t>1.22-2103-2-1/1</t>
  </si>
  <si>
    <t>Техническое обслуживание сетевой линии связи /Кабель симметричный для интерфейса 1х2х0.67</t>
  </si>
  <si>
    <t>СН-2012.1 Выпуск № 5 (в текущих ценах по состоянию на 01.10.2025 г.). 1.22-2103-2-1/1</t>
  </si>
  <si>
    <t>54</t>
  </si>
  <si>
    <t>Техническое обслуживание силовых сетей, проложенных по кирпичным и бетонным основаниям, провод сечением 3х25-35 мм2 (Провод медный желто-зеленый ПуГВ 1х25)</t>
  </si>
  <si>
    <t>55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</si>
  <si>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 (Провод медный желто-зеленый ПуГВ 1х25)</t>
  </si>
  <si>
    <t>56</t>
  </si>
  <si>
    <t>Техническое обслуживание сетевой линии связи/ Кабель витая пара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</si>
  <si>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</si>
  <si>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</si>
  <si>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</si>
  <si>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</si>
  <si>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</si>
  <si>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</si>
  <si>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</si>
  <si>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</si>
  <si>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</si>
  <si>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</si>
  <si>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</si>
  <si>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</si>
  <si>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</si>
  <si>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</si>
  <si>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</si>
  <si>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</si>
  <si>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</si>
  <si>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</si>
  <si>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</si>
  <si>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</si>
  <si>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</si>
  <si>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</si>
  <si>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</si>
  <si>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</si>
  <si>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</si>
  <si>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</si>
  <si>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</si>
  <si>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</si>
  <si>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</si>
  <si>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</si>
  <si>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</si>
  <si>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т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</si>
  <si>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</si>
  <si>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</si>
  <si>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</si>
  <si>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</si>
  <si>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</si>
  <si>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</si>
  <si>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</si>
  <si>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</si>
  <si>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</si>
  <si>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21.1-6-90</t>
  </si>
  <si>
    <t>Олифа для окраски комбинированная оксоль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</si>
  <si>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</si>
  <si>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</si>
  <si>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</si>
  <si>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</si>
  <si>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</si>
  <si>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</si>
  <si>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</si>
  <si>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</si>
  <si>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</si>
  <si>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</si>
  <si>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м3</t>
  </si>
  <si>
    <t>21.1-4-2</t>
  </si>
  <si>
    <t>СН-2012.21 Выпуск № 5 (в текущих ценах по состоянию на 01.10.2025 г.). 21.1-4-2</t>
  </si>
  <si>
    <t>Ацетилен технический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</si>
  <si>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</si>
  <si>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</si>
  <si>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</si>
  <si>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</si>
  <si>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</si>
  <si>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</si>
  <si>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21.1-20-1</t>
  </si>
  <si>
    <t>СН-2012.21 Выпуск № 5 (в текущих ценах по состоянию на 01.10.2025 г.). 21.1-20-1</t>
  </si>
  <si>
    <t>Бязь</t>
  </si>
  <si>
    <t>21.1-4-3</t>
  </si>
  <si>
    <t>СН-2012.21 Выпуск № 5 (в текущих ценах по состоянию на 01.10.2025 г.). 21.1-4-3</t>
  </si>
  <si>
    <t>Бензин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</si>
  <si>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</si>
  <si>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</si>
  <si>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</si>
  <si>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21.1-4-77</t>
  </si>
  <si>
    <t>СН-2012.21 Выпуск № 5 (в текущих ценах по состоянию на 01.10.2025 г.). 21.1-4-77</t>
  </si>
  <si>
    <t>Смазка силиконовая, аэрозольная, водостойкая, диапазон температур применения от -50 до +230°С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</si>
  <si>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</si>
  <si>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</si>
  <si>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</si>
  <si>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21.1-16-11</t>
  </si>
  <si>
    <t>СН-2012.21 Выпуск № 5 (в текущих ценах по состоянию на 01.10.2025 г.). 21.1-16-11</t>
  </si>
  <si>
    <t>Ацетон химически чистый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</si>
  <si>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</si>
  <si>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</si>
  <si>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</si>
  <si>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</si>
  <si>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</si>
  <si>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</si>
  <si>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</si>
  <si>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</si>
  <si>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</si>
  <si>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21.1-25-13</t>
  </si>
  <si>
    <t>СН-2012.21 Выпуск № 5 (в текущих ценах по состоянию на 01.10.2025 г.). 21.1-25-13</t>
  </si>
  <si>
    <t>Вода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</si>
  <si>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</si>
  <si>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</si>
  <si>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</si>
  <si>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</si>
  <si>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</si>
  <si>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</si>
  <si>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</si>
  <si>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</si>
  <si>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</si>
  <si>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</si>
  <si>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</si>
  <si>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</si>
  <si>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</si>
  <si>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</si>
  <si>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</si>
  <si>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</si>
  <si>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</si>
  <si>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</si>
  <si>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</si>
  <si>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</si>
  <si>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</si>
  <si>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</si>
  <si>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21.1-15-50</t>
  </si>
  <si>
    <t>Припой, сплав "Вуда"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</si>
  <si>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</si>
  <si>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</si>
  <si>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</si>
  <si>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</si>
  <si>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</si>
  <si>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</si>
  <si>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СН-2012. Гл.1 Сб.20 п.3. 1</t>
  </si>
  <si>
    <t>При работах, которые производятся на высоте свыше 2 м от пола от 2 до 8 м</t>
  </si>
  <si>
    <t>Гл.1, Сб.20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</si>
  <si>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Айрон 2.0 28 Вт 5000 K 906х109х66 мм класс защиты IP67 с рассеивателем опал диммируемый по протоколу DALI</t>
  </si>
  <si>
    <t>Техническое обслуживание панели светодиодной 595x595 мм типа Ecola, встроенной в гипсокартонный потолок - годовое /Светодиодный светильник VARTON A070 2.0 офисный встраиваемый 30 Вт 3000 K 595х595х50 мм IP40 с рассеивателем опал; Светодиодный светильник VARTON A070 2.0 офисный встраиваемый 30 Вт 4000 K 595х595х50 мм IP40 с рассеивателем опал EM Teletest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</si>
  <si>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архитектурный Regula Frost 1000мм 12Вт 24В 3000 К RAL9005 черный; Светодиодный светильник VARTON архитектурный Regula Frost 300мм 4Вт 24В RGBW DMX RAL9005 черный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</si>
  <si>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</si>
  <si>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</si>
  <si>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</si>
  <si>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</si>
  <si>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</si>
  <si>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</si>
  <si>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</si>
  <si>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</si>
  <si>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</si>
  <si>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</si>
  <si>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</si>
  <si>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</si>
  <si>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</si>
  <si>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</si>
  <si>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</si>
  <si>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</si>
  <si>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</si>
  <si>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</si>
  <si>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</si>
  <si>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</si>
  <si>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</si>
  <si>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</si>
  <si>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</si>
  <si>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</si>
  <si>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</si>
  <si>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</si>
  <si>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</si>
  <si>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</si>
  <si>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</si>
  <si>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</si>
  <si>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</si>
  <si>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</si>
  <si>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</si>
  <si>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</si>
  <si>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МР</t>
  </si>
  <si>
    <t>НР и СП от ЗПМ</t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</si>
  <si>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</si>
  <si>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Айрон 2.0 28 Вт 5000 K 906х109х66 мм класс защиты IP67 с рассеивателем опал диммируемый по протоколу DALI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</si>
  <si>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1.20-2103-12-2/1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</si>
  <si>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панели светодиодной 595x595 мм типа Ecola, встроенной в гипсокартонный потолок - годовое /Светодиодный светильник VARTON A070 2.0 офисный встраиваемый 30 Вт 3000 K 595х595х50 мм IP40 с рассеивателем опал; Светодиодный светильник VARTON A070 2.0 офисный встраиваемый 30 Вт 4000 K 595х595х50 мм IP40 с рассеивателем опал EM Teletest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</si>
  <si>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1.20-2103-15-2/1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</si>
  <si>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типа «Титан» аварийного освещения - полугодовое / Светодиодный светильник VARTON Айрон 2.0 28 Вт 5000 K 906х109х66 мм класс защиты IP67 с рассеивателем опал аварийный автономный постоянного действия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</si>
  <si>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архитектурный Regula Frost 1000мм 12Вт 24В 3000 К RAL9005 черный; Светодиодный светильник VARTON архитектурный Regula Frost 300мм 4Вт 24В RGBW DMX RAL9005 черный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</si>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</sst>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6" fillId="0" borderId="0" xfId="0" applyFont="1"/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8"/>
  <sheetViews>
    <sheetView tabSelected="1" topLeftCell="A507" zoomScaleNormal="100" workbookViewId="0">
      <selection activeCell="I539" sqref="I539:J54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9" t="s">
        <v>512</v>
      </c>
      <c r="K2" s="49"/>
    </row>
    <row r="3" spans="1:11" ht="16.5" x14ac:dyDescent="0.25">
      <c r="A3" s="11"/>
      <c r="B3" s="56" t="s">
        <v>510</v>
      </c>
      <c r="C3" s="56"/>
      <c r="D3" s="56"/>
      <c r="E3" s="56"/>
      <c r="F3" s="10"/>
      <c r="G3" s="56" t="s">
        <v>511</v>
      </c>
      <c r="H3" s="56"/>
      <c r="I3" s="56"/>
      <c r="J3" s="56"/>
      <c r="K3" s="56"/>
    </row>
    <row r="4" spans="1:11" ht="14.25" x14ac:dyDescent="0.2">
      <c r="A4" s="10"/>
      <c r="B4" s="48"/>
      <c r="C4" s="48"/>
      <c r="D4" s="48"/>
      <c r="E4" s="48"/>
      <c r="F4" s="10"/>
      <c r="G4" s="48"/>
      <c r="H4" s="48"/>
      <c r="I4" s="48"/>
      <c r="J4" s="48"/>
      <c r="K4" s="48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8" t="str">
        <f>CONCATENATE("______________________ ", IF(Source!AL12&lt;&gt;"", Source!AL12, ""))</f>
        <v xml:space="preserve">______________________ </v>
      </c>
      <c r="C6" s="48"/>
      <c r="D6" s="48"/>
      <c r="E6" s="48"/>
      <c r="F6" s="10"/>
      <c r="G6" s="48" t="str">
        <f>CONCATENATE("______________________ ", IF(Source!AH12&lt;&gt;"", Source!AH12, ""))</f>
        <v xml:space="preserve">______________________ </v>
      </c>
      <c r="H6" s="48"/>
      <c r="I6" s="48"/>
      <c r="J6" s="48"/>
      <c r="K6" s="48"/>
    </row>
    <row r="7" spans="1:11" ht="14.25" x14ac:dyDescent="0.2">
      <c r="A7" s="13"/>
      <c r="B7" s="37" t="s">
        <v>513</v>
      </c>
      <c r="C7" s="37"/>
      <c r="D7" s="37"/>
      <c r="E7" s="37"/>
      <c r="F7" s="10"/>
      <c r="G7" s="37" t="s">
        <v>513</v>
      </c>
      <c r="H7" s="37"/>
      <c r="I7" s="37"/>
      <c r="J7" s="37"/>
      <c r="K7" s="37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3" t="str">
        <f>CONCATENATE( "ЛОКАЛЬНАЯ СМЕТА № ",IF(Source!F12&lt;&gt;"Новый объект", Source!F12, ""))</f>
        <v xml:space="preserve">ЛОКАЛЬНАЯ СМЕТА № 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x14ac:dyDescent="0.2">
      <c r="A11" s="51" t="s">
        <v>514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0" t="str">
        <f>IF(Source!G12&lt;&gt;"Новый объект", Source!G12, "")</f>
        <v>Паркинг 2_на 4 мес. (10%)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51" t="s">
        <v>515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7" t="str">
        <f>CONCATENATE( "Основание: чертежи № ", Source!J12)</f>
        <v xml:space="preserve">Основание: чертежи № 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8" t="s">
        <v>516</v>
      </c>
      <c r="G20" s="48"/>
      <c r="H20" s="48"/>
      <c r="I20" s="38">
        <f>I541/1000</f>
        <v>934.55095999999992</v>
      </c>
      <c r="J20" s="49"/>
      <c r="K20" s="10" t="s">
        <v>517</v>
      </c>
    </row>
    <row r="21" spans="1:11" ht="14.25" hidden="1" x14ac:dyDescent="0.2">
      <c r="A21" s="10"/>
      <c r="B21" s="10"/>
      <c r="C21" s="10"/>
      <c r="D21" s="10"/>
      <c r="E21" s="10"/>
      <c r="F21" s="48" t="s">
        <v>518</v>
      </c>
      <c r="G21" s="48"/>
      <c r="H21" s="48"/>
      <c r="I21" s="38">
        <f>ROUND((Source!F780)/1000, 2)</f>
        <v>0</v>
      </c>
      <c r="J21" s="49"/>
      <c r="K21" s="10" t="s">
        <v>517</v>
      </c>
    </row>
    <row r="22" spans="1:11" ht="14.25" hidden="1" x14ac:dyDescent="0.2">
      <c r="A22" s="10"/>
      <c r="B22" s="10"/>
      <c r="C22" s="10"/>
      <c r="D22" s="10"/>
      <c r="E22" s="10"/>
      <c r="F22" s="48" t="s">
        <v>519</v>
      </c>
      <c r="G22" s="48"/>
      <c r="H22" s="48"/>
      <c r="I22" s="38">
        <f>ROUND((Source!F781)/1000, 2)</f>
        <v>0</v>
      </c>
      <c r="J22" s="49"/>
      <c r="K22" s="10" t="s">
        <v>517</v>
      </c>
    </row>
    <row r="23" spans="1:11" ht="14.25" hidden="1" x14ac:dyDescent="0.2">
      <c r="A23" s="10"/>
      <c r="B23" s="10"/>
      <c r="C23" s="10"/>
      <c r="D23" s="10"/>
      <c r="E23" s="10"/>
      <c r="F23" s="48" t="s">
        <v>205</v>
      </c>
      <c r="G23" s="48"/>
      <c r="H23" s="48"/>
      <c r="I23" s="38">
        <f>ROUND((Source!F772)/1000, 2)</f>
        <v>0</v>
      </c>
      <c r="J23" s="49"/>
      <c r="K23" s="10" t="s">
        <v>517</v>
      </c>
    </row>
    <row r="24" spans="1:11" ht="14.25" hidden="1" x14ac:dyDescent="0.2">
      <c r="A24" s="10"/>
      <c r="B24" s="10"/>
      <c r="C24" s="10"/>
      <c r="D24" s="10"/>
      <c r="E24" s="10"/>
      <c r="F24" s="48" t="s">
        <v>520</v>
      </c>
      <c r="G24" s="48"/>
      <c r="H24" s="48"/>
      <c r="I24" s="38">
        <f>ROUND((Source!F782+Source!F783)/1000, 2)</f>
        <v>766.03</v>
      </c>
      <c r="J24" s="49"/>
      <c r="K24" s="10" t="s">
        <v>517</v>
      </c>
    </row>
    <row r="25" spans="1:11" ht="14.25" x14ac:dyDescent="0.2">
      <c r="A25" s="10"/>
      <c r="B25" s="10"/>
      <c r="C25" s="10"/>
      <c r="D25" s="10"/>
      <c r="E25" s="10"/>
      <c r="F25" s="48" t="s">
        <v>521</v>
      </c>
      <c r="G25" s="48"/>
      <c r="H25" s="48"/>
      <c r="I25" s="38">
        <f>(Source!F778+ Source!F777)/1000</f>
        <v>421.17119999999994</v>
      </c>
      <c r="J25" s="49"/>
      <c r="K25" s="10" t="s">
        <v>517</v>
      </c>
    </row>
    <row r="26" spans="1:11" ht="14.25" x14ac:dyDescent="0.2">
      <c r="A26" s="10" t="s">
        <v>535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6" t="s">
        <v>522</v>
      </c>
      <c r="B27" s="46" t="s">
        <v>523</v>
      </c>
      <c r="C27" s="46" t="s">
        <v>524</v>
      </c>
      <c r="D27" s="46" t="s">
        <v>525</v>
      </c>
      <c r="E27" s="46" t="s">
        <v>526</v>
      </c>
      <c r="F27" s="46" t="s">
        <v>527</v>
      </c>
      <c r="G27" s="46" t="s">
        <v>528</v>
      </c>
      <c r="H27" s="46" t="s">
        <v>529</v>
      </c>
      <c r="I27" s="46" t="s">
        <v>530</v>
      </c>
      <c r="J27" s="46" t="s">
        <v>531</v>
      </c>
      <c r="K27" s="16" t="s">
        <v>532</v>
      </c>
    </row>
    <row r="28" spans="1:11" ht="28.5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17" t="s">
        <v>533</v>
      </c>
    </row>
    <row r="29" spans="1:11" ht="28.5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17" t="s">
        <v>534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x14ac:dyDescent="0.25">
      <c r="A32" s="45" t="str">
        <f>CONCATENATE("Локальная смета: ",IF(Source!G20&lt;&gt;"Новая локальная смета", Source!G20, ""))</f>
        <v xml:space="preserve">Локальная смета: 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</row>
    <row r="34" spans="1:22" ht="16.5" x14ac:dyDescent="0.25">
      <c r="A34" s="45" t="str">
        <f>CONCATENATE("Раздел: ",IF(Source!G24&lt;&gt;"Новый раздел", Source!G24, ""))</f>
        <v>Раздел: Водоснабжение и водоотведение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6" spans="1:22" ht="16.5" x14ac:dyDescent="0.25">
      <c r="A36" s="45" t="str">
        <f>CONCATENATE("Подраздел: ",IF(Source!G28&lt;&gt;"Новый подраздел", Source!G28, ""))</f>
        <v>Подраздел: Водоснабжение В1,ТЗ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pans="1:22" ht="42.75" x14ac:dyDescent="0.2">
      <c r="A37" s="18">
        <v>1</v>
      </c>
      <c r="B37" s="18" t="str">
        <f>Source!F34</f>
        <v>1.15-2203-7-2/1</v>
      </c>
      <c r="C37" s="18" t="str">
        <f>Source!G34</f>
        <v>Техническое обслуживание крана шарового латунного никелированного диаметром до 50 мм (Ду32)</v>
      </c>
      <c r="D37" s="19" t="str">
        <f>Source!H34</f>
        <v>10 шт.</v>
      </c>
      <c r="E37" s="9">
        <f>Source!I34</f>
        <v>0.2</v>
      </c>
      <c r="F37" s="21"/>
      <c r="G37" s="20"/>
      <c r="H37" s="9"/>
      <c r="I37" s="9"/>
      <c r="J37" s="21"/>
      <c r="K37" s="21"/>
      <c r="Q37">
        <f>ROUND((Source!BZ34/100)*ROUND((Source!AF34*Source!AV34)*Source!I34, 2), 2)</f>
        <v>52.73</v>
      </c>
      <c r="R37">
        <f>Source!X34</f>
        <v>52.73</v>
      </c>
      <c r="S37">
        <f>ROUND((Source!CA34/100)*ROUND((Source!AF34*Source!AV34)*Source!I34, 2), 2)</f>
        <v>7.53</v>
      </c>
      <c r="T37">
        <f>Source!Y34</f>
        <v>7.53</v>
      </c>
      <c r="U37">
        <f>ROUND((175/100)*ROUND((Source!AE34*Source!AV34)*Source!I34, 2), 2)</f>
        <v>0</v>
      </c>
      <c r="V37">
        <f>ROUND((108/100)*ROUND(Source!CS34*Source!I34, 2), 2)</f>
        <v>0</v>
      </c>
    </row>
    <row r="38" spans="1:22" x14ac:dyDescent="0.2">
      <c r="C38" s="22" t="str">
        <f>"Объем: "&amp;Source!I34&amp;"=(2)/"&amp;"10"</f>
        <v>Объем: 0,2=(2)/10</v>
      </c>
    </row>
    <row r="39" spans="1:22" ht="14.25" x14ac:dyDescent="0.2">
      <c r="A39" s="18"/>
      <c r="B39" s="18"/>
      <c r="C39" s="18" t="s">
        <v>536</v>
      </c>
      <c r="D39" s="19"/>
      <c r="E39" s="9"/>
      <c r="F39" s="21">
        <f>Source!AO34</f>
        <v>376.67</v>
      </c>
      <c r="G39" s="20" t="str">
        <f>Source!DG34</f>
        <v/>
      </c>
      <c r="H39" s="9">
        <f>Source!AV34</f>
        <v>1</v>
      </c>
      <c r="I39" s="9">
        <f>IF(Source!BA34&lt;&gt; 0, Source!BA34, 1)</f>
        <v>1</v>
      </c>
      <c r="J39" s="21">
        <f>Source!S34</f>
        <v>75.33</v>
      </c>
      <c r="K39" s="21"/>
    </row>
    <row r="40" spans="1:22" ht="14.25" x14ac:dyDescent="0.2">
      <c r="A40" s="18"/>
      <c r="B40" s="18"/>
      <c r="C40" s="18" t="s">
        <v>537</v>
      </c>
      <c r="D40" s="19" t="s">
        <v>538</v>
      </c>
      <c r="E40" s="9">
        <f>Source!AT34</f>
        <v>70</v>
      </c>
      <c r="F40" s="21"/>
      <c r="G40" s="20"/>
      <c r="H40" s="9"/>
      <c r="I40" s="9"/>
      <c r="J40" s="21">
        <f>SUM(R37:R39)</f>
        <v>52.73</v>
      </c>
      <c r="K40" s="21"/>
    </row>
    <row r="41" spans="1:22" ht="14.25" x14ac:dyDescent="0.2">
      <c r="A41" s="18"/>
      <c r="B41" s="18"/>
      <c r="C41" s="18" t="s">
        <v>539</v>
      </c>
      <c r="D41" s="19" t="s">
        <v>538</v>
      </c>
      <c r="E41" s="9">
        <f>Source!AU34</f>
        <v>10</v>
      </c>
      <c r="F41" s="21"/>
      <c r="G41" s="20"/>
      <c r="H41" s="9"/>
      <c r="I41" s="9"/>
      <c r="J41" s="21">
        <f>SUM(T37:T40)</f>
        <v>7.53</v>
      </c>
      <c r="K41" s="21"/>
    </row>
    <row r="42" spans="1:22" ht="14.25" x14ac:dyDescent="0.2">
      <c r="A42" s="18"/>
      <c r="B42" s="18"/>
      <c r="C42" s="18" t="s">
        <v>540</v>
      </c>
      <c r="D42" s="19" t="s">
        <v>541</v>
      </c>
      <c r="E42" s="9">
        <f>Source!AQ34</f>
        <v>0.61</v>
      </c>
      <c r="F42" s="21"/>
      <c r="G42" s="20" t="str">
        <f>Source!DI34</f>
        <v/>
      </c>
      <c r="H42" s="9">
        <f>Source!AV34</f>
        <v>1</v>
      </c>
      <c r="I42" s="9"/>
      <c r="J42" s="21"/>
      <c r="K42" s="21">
        <f>Source!U34</f>
        <v>0.122</v>
      </c>
    </row>
    <row r="43" spans="1:22" ht="15" x14ac:dyDescent="0.25">
      <c r="A43" s="24"/>
      <c r="B43" s="24"/>
      <c r="C43" s="24"/>
      <c r="D43" s="24"/>
      <c r="E43" s="24"/>
      <c r="F43" s="24"/>
      <c r="G43" s="24"/>
      <c r="H43" s="24"/>
      <c r="I43" s="44">
        <f>J39+J40+J41</f>
        <v>135.59</v>
      </c>
      <c r="J43" s="44"/>
      <c r="K43" s="25">
        <f>IF(Source!I34&lt;&gt;0, ROUND(I43/Source!I34, 2), 0)</f>
        <v>677.95</v>
      </c>
      <c r="P43" s="23">
        <f>I43</f>
        <v>135.59</v>
      </c>
    </row>
    <row r="44" spans="1:22" ht="42.75" x14ac:dyDescent="0.2">
      <c r="A44" s="18">
        <v>2</v>
      </c>
      <c r="B44" s="18" t="str">
        <f>Source!F35</f>
        <v>1.15-2203-7-1/1</v>
      </c>
      <c r="C44" s="18" t="str">
        <f>Source!G35</f>
        <v>Техническое обслуживание крана шарового латунного никелированного диаметром до 25 мм (Ду15; Ду25)</v>
      </c>
      <c r="D44" s="19" t="str">
        <f>Source!H35</f>
        <v>10 шт.</v>
      </c>
      <c r="E44" s="9">
        <f>Source!I35</f>
        <v>3.9</v>
      </c>
      <c r="F44" s="21"/>
      <c r="G44" s="20"/>
      <c r="H44" s="9"/>
      <c r="I44" s="9"/>
      <c r="J44" s="21"/>
      <c r="K44" s="21"/>
      <c r="Q44">
        <f>ROUND((Source!BZ35/100)*ROUND((Source!AF35*Source!AV35)*Source!I35, 2), 2)</f>
        <v>758.58</v>
      </c>
      <c r="R44">
        <f>Source!X35</f>
        <v>758.58</v>
      </c>
      <c r="S44">
        <f>ROUND((Source!CA35/100)*ROUND((Source!AF35*Source!AV35)*Source!I35, 2), 2)</f>
        <v>108.37</v>
      </c>
      <c r="T44">
        <f>Source!Y35</f>
        <v>108.37</v>
      </c>
      <c r="U44">
        <f>ROUND((175/100)*ROUND((Source!AE35*Source!AV35)*Source!I35, 2), 2)</f>
        <v>0</v>
      </c>
      <c r="V44">
        <f>ROUND((108/100)*ROUND(Source!CS35*Source!I35, 2), 2)</f>
        <v>0</v>
      </c>
    </row>
    <row r="45" spans="1:22" x14ac:dyDescent="0.2">
      <c r="C45" s="22" t="str">
        <f>"Объем: "&amp;Source!I35&amp;"=(35+"&amp;"4)/"&amp;"10"</f>
        <v>Объем: 3,9=(35+4)/10</v>
      </c>
    </row>
    <row r="46" spans="1:22" ht="14.25" x14ac:dyDescent="0.2">
      <c r="A46" s="18"/>
      <c r="B46" s="18"/>
      <c r="C46" s="18" t="s">
        <v>536</v>
      </c>
      <c r="D46" s="19"/>
      <c r="E46" s="9"/>
      <c r="F46" s="21">
        <f>Source!AO35</f>
        <v>277.87</v>
      </c>
      <c r="G46" s="20" t="str">
        <f>Source!DG35</f>
        <v/>
      </c>
      <c r="H46" s="9">
        <f>Source!AV35</f>
        <v>1</v>
      </c>
      <c r="I46" s="9">
        <f>IF(Source!BA35&lt;&gt; 0, Source!BA35, 1)</f>
        <v>1</v>
      </c>
      <c r="J46" s="21">
        <f>Source!S35</f>
        <v>1083.69</v>
      </c>
      <c r="K46" s="21"/>
    </row>
    <row r="47" spans="1:22" ht="14.25" x14ac:dyDescent="0.2">
      <c r="A47" s="18"/>
      <c r="B47" s="18"/>
      <c r="C47" s="18" t="s">
        <v>537</v>
      </c>
      <c r="D47" s="19" t="s">
        <v>538</v>
      </c>
      <c r="E47" s="9">
        <f>Source!AT35</f>
        <v>70</v>
      </c>
      <c r="F47" s="21"/>
      <c r="G47" s="20"/>
      <c r="H47" s="9"/>
      <c r="I47" s="9"/>
      <c r="J47" s="21">
        <f>SUM(R44:R46)</f>
        <v>758.58</v>
      </c>
      <c r="K47" s="21"/>
    </row>
    <row r="48" spans="1:22" ht="14.25" x14ac:dyDescent="0.2">
      <c r="A48" s="18"/>
      <c r="B48" s="18"/>
      <c r="C48" s="18" t="s">
        <v>539</v>
      </c>
      <c r="D48" s="19" t="s">
        <v>538</v>
      </c>
      <c r="E48" s="9">
        <f>Source!AU35</f>
        <v>10</v>
      </c>
      <c r="F48" s="21"/>
      <c r="G48" s="20"/>
      <c r="H48" s="9"/>
      <c r="I48" s="9"/>
      <c r="J48" s="21">
        <f>SUM(T44:T47)</f>
        <v>108.37</v>
      </c>
      <c r="K48" s="21"/>
    </row>
    <row r="49" spans="1:22" ht="14.25" x14ac:dyDescent="0.2">
      <c r="A49" s="18"/>
      <c r="B49" s="18"/>
      <c r="C49" s="18" t="s">
        <v>540</v>
      </c>
      <c r="D49" s="19" t="s">
        <v>541</v>
      </c>
      <c r="E49" s="9">
        <f>Source!AQ35</f>
        <v>0.45</v>
      </c>
      <c r="F49" s="21"/>
      <c r="G49" s="20" t="str">
        <f>Source!DI35</f>
        <v/>
      </c>
      <c r="H49" s="9">
        <f>Source!AV35</f>
        <v>1</v>
      </c>
      <c r="I49" s="9"/>
      <c r="J49" s="21"/>
      <c r="K49" s="21">
        <f>Source!U35</f>
        <v>1.7549999999999999</v>
      </c>
    </row>
    <row r="50" spans="1:22" ht="15" x14ac:dyDescent="0.25">
      <c r="A50" s="24"/>
      <c r="B50" s="24"/>
      <c r="C50" s="24"/>
      <c r="D50" s="24"/>
      <c r="E50" s="24"/>
      <c r="F50" s="24"/>
      <c r="G50" s="24"/>
      <c r="H50" s="24"/>
      <c r="I50" s="44">
        <f>J46+J47+J48</f>
        <v>1950.6399999999999</v>
      </c>
      <c r="J50" s="44"/>
      <c r="K50" s="25">
        <f>IF(Source!I35&lt;&gt;0, ROUND(I50/Source!I35, 2), 0)</f>
        <v>500.16</v>
      </c>
      <c r="P50" s="23">
        <f>I50</f>
        <v>1950.6399999999999</v>
      </c>
    </row>
    <row r="51" spans="1:22" ht="71.25" x14ac:dyDescent="0.2">
      <c r="A51" s="18">
        <v>3</v>
      </c>
      <c r="B51" s="18" t="str">
        <f>Source!F36</f>
        <v>1.21-2303-24-1/1</v>
      </c>
      <c r="C51" s="18" t="str">
        <f>Source!G36</f>
        <v>Техническое обслуживание электроводонагревателей объемом до 80 литров/ Электроводонагреватель накопительного типа   V=50л, 1,50 кВт 220 В</v>
      </c>
      <c r="D51" s="19" t="str">
        <f>Source!H36</f>
        <v>шт.</v>
      </c>
      <c r="E51" s="9">
        <f>Source!I36</f>
        <v>2</v>
      </c>
      <c r="F51" s="21"/>
      <c r="G51" s="20"/>
      <c r="H51" s="9"/>
      <c r="I51" s="9"/>
      <c r="J51" s="21"/>
      <c r="K51" s="21"/>
      <c r="Q51">
        <f>ROUND((Source!BZ36/100)*ROUND((Source!AF36*Source!AV36)*Source!I36, 2), 2)</f>
        <v>1741.64</v>
      </c>
      <c r="R51">
        <f>Source!X36</f>
        <v>1741.64</v>
      </c>
      <c r="S51">
        <f>ROUND((Source!CA36/100)*ROUND((Source!AF36*Source!AV36)*Source!I36, 2), 2)</f>
        <v>248.81</v>
      </c>
      <c r="T51">
        <f>Source!Y36</f>
        <v>248.81</v>
      </c>
      <c r="U51">
        <f>ROUND((175/100)*ROUND((Source!AE36*Source!AV36)*Source!I36, 2), 2)</f>
        <v>3131.7</v>
      </c>
      <c r="V51">
        <f>ROUND((108/100)*ROUND(Source!CS36*Source!I36, 2), 2)</f>
        <v>1932.7</v>
      </c>
    </row>
    <row r="52" spans="1:22" ht="14.25" x14ac:dyDescent="0.2">
      <c r="A52" s="18"/>
      <c r="B52" s="18"/>
      <c r="C52" s="18" t="s">
        <v>536</v>
      </c>
      <c r="D52" s="19"/>
      <c r="E52" s="9"/>
      <c r="F52" s="21">
        <f>Source!AO36</f>
        <v>1244.03</v>
      </c>
      <c r="G52" s="20" t="str">
        <f>Source!DG36</f>
        <v/>
      </c>
      <c r="H52" s="9">
        <f>Source!AV36</f>
        <v>1</v>
      </c>
      <c r="I52" s="9">
        <f>IF(Source!BA36&lt;&gt; 0, Source!BA36, 1)</f>
        <v>1</v>
      </c>
      <c r="J52" s="21">
        <f>Source!S36</f>
        <v>2488.06</v>
      </c>
      <c r="K52" s="21"/>
    </row>
    <row r="53" spans="1:22" ht="14.25" x14ac:dyDescent="0.2">
      <c r="A53" s="18"/>
      <c r="B53" s="18"/>
      <c r="C53" s="18" t="s">
        <v>542</v>
      </c>
      <c r="D53" s="19"/>
      <c r="E53" s="9"/>
      <c r="F53" s="21">
        <f>Source!AM36</f>
        <v>1411.16</v>
      </c>
      <c r="G53" s="20" t="str">
        <f>Source!DE36</f>
        <v/>
      </c>
      <c r="H53" s="9">
        <f>Source!AV36</f>
        <v>1</v>
      </c>
      <c r="I53" s="9">
        <f>IF(Source!BB36&lt;&gt; 0, Source!BB36, 1)</f>
        <v>1</v>
      </c>
      <c r="J53" s="21">
        <f>Source!Q36</f>
        <v>2822.32</v>
      </c>
      <c r="K53" s="21"/>
    </row>
    <row r="54" spans="1:22" ht="14.25" x14ac:dyDescent="0.2">
      <c r="A54" s="18"/>
      <c r="B54" s="18"/>
      <c r="C54" s="18" t="s">
        <v>543</v>
      </c>
      <c r="D54" s="19"/>
      <c r="E54" s="9"/>
      <c r="F54" s="21">
        <f>Source!AN36</f>
        <v>894.77</v>
      </c>
      <c r="G54" s="20" t="str">
        <f>Source!DF36</f>
        <v/>
      </c>
      <c r="H54" s="9">
        <f>Source!AV36</f>
        <v>1</v>
      </c>
      <c r="I54" s="9">
        <f>IF(Source!BS36&lt;&gt; 0, Source!BS36, 1)</f>
        <v>1</v>
      </c>
      <c r="J54" s="26">
        <f>Source!R36</f>
        <v>1789.54</v>
      </c>
      <c r="K54" s="21"/>
    </row>
    <row r="55" spans="1:22" ht="14.25" x14ac:dyDescent="0.2">
      <c r="A55" s="18"/>
      <c r="B55" s="18"/>
      <c r="C55" s="18" t="s">
        <v>544</v>
      </c>
      <c r="D55" s="19"/>
      <c r="E55" s="9"/>
      <c r="F55" s="21">
        <f>Source!AL36</f>
        <v>0.63</v>
      </c>
      <c r="G55" s="20" t="str">
        <f>Source!DD36</f>
        <v/>
      </c>
      <c r="H55" s="9">
        <f>Source!AW36</f>
        <v>1</v>
      </c>
      <c r="I55" s="9">
        <f>IF(Source!BC36&lt;&gt; 0, Source!BC36, 1)</f>
        <v>1</v>
      </c>
      <c r="J55" s="21">
        <f>Source!P36</f>
        <v>1.26</v>
      </c>
      <c r="K55" s="21"/>
    </row>
    <row r="56" spans="1:22" ht="14.25" x14ac:dyDescent="0.2">
      <c r="A56" s="18"/>
      <c r="B56" s="18"/>
      <c r="C56" s="18" t="s">
        <v>537</v>
      </c>
      <c r="D56" s="19" t="s">
        <v>538</v>
      </c>
      <c r="E56" s="9">
        <f>Source!AT36</f>
        <v>70</v>
      </c>
      <c r="F56" s="21"/>
      <c r="G56" s="20"/>
      <c r="H56" s="9"/>
      <c r="I56" s="9"/>
      <c r="J56" s="21">
        <f>SUM(R51:R55)</f>
        <v>1741.64</v>
      </c>
      <c r="K56" s="21"/>
    </row>
    <row r="57" spans="1:22" ht="14.25" x14ac:dyDescent="0.2">
      <c r="A57" s="18"/>
      <c r="B57" s="18"/>
      <c r="C57" s="18" t="s">
        <v>539</v>
      </c>
      <c r="D57" s="19" t="s">
        <v>538</v>
      </c>
      <c r="E57" s="9">
        <f>Source!AU36</f>
        <v>10</v>
      </c>
      <c r="F57" s="21"/>
      <c r="G57" s="20"/>
      <c r="H57" s="9"/>
      <c r="I57" s="9"/>
      <c r="J57" s="21">
        <f>SUM(T51:T56)</f>
        <v>248.81</v>
      </c>
      <c r="K57" s="21"/>
    </row>
    <row r="58" spans="1:22" ht="14.25" x14ac:dyDescent="0.2">
      <c r="A58" s="18"/>
      <c r="B58" s="18"/>
      <c r="C58" s="18" t="s">
        <v>545</v>
      </c>
      <c r="D58" s="19" t="s">
        <v>538</v>
      </c>
      <c r="E58" s="9">
        <f>108</f>
        <v>108</v>
      </c>
      <c r="F58" s="21"/>
      <c r="G58" s="20"/>
      <c r="H58" s="9"/>
      <c r="I58" s="9"/>
      <c r="J58" s="21">
        <f>SUM(V51:V57)</f>
        <v>1932.7</v>
      </c>
      <c r="K58" s="21"/>
    </row>
    <row r="59" spans="1:22" ht="14.25" x14ac:dyDescent="0.2">
      <c r="A59" s="18"/>
      <c r="B59" s="18"/>
      <c r="C59" s="18" t="s">
        <v>540</v>
      </c>
      <c r="D59" s="19" t="s">
        <v>541</v>
      </c>
      <c r="E59" s="9">
        <f>Source!AQ36</f>
        <v>1.75</v>
      </c>
      <c r="F59" s="21"/>
      <c r="G59" s="20" t="str">
        <f>Source!DI36</f>
        <v/>
      </c>
      <c r="H59" s="9">
        <f>Source!AV36</f>
        <v>1</v>
      </c>
      <c r="I59" s="9"/>
      <c r="J59" s="21"/>
      <c r="K59" s="21">
        <f>Source!U36</f>
        <v>3.5</v>
      </c>
    </row>
    <row r="60" spans="1:22" ht="15" x14ac:dyDescent="0.25">
      <c r="A60" s="24"/>
      <c r="B60" s="24"/>
      <c r="C60" s="24"/>
      <c r="D60" s="24"/>
      <c r="E60" s="24"/>
      <c r="F60" s="24"/>
      <c r="G60" s="24"/>
      <c r="H60" s="24"/>
      <c r="I60" s="44">
        <f>J52+J53+J55+J56+J57+J58</f>
        <v>9234.7900000000009</v>
      </c>
      <c r="J60" s="44"/>
      <c r="K60" s="25">
        <f>IF(Source!I36&lt;&gt;0, ROUND(I60/Source!I36, 2), 0)</f>
        <v>4617.3999999999996</v>
      </c>
      <c r="P60" s="23">
        <f>I60</f>
        <v>9234.7900000000009</v>
      </c>
    </row>
    <row r="62" spans="1:22" ht="15" x14ac:dyDescent="0.25">
      <c r="A62" s="43" t="str">
        <f>CONCATENATE("Итого по подразделу: ",IF(Source!G39&lt;&gt;"Новый подраздел", Source!G39, ""))</f>
        <v>Итого по подразделу: Водоснабжение В1,ТЗ</v>
      </c>
      <c r="B62" s="43"/>
      <c r="C62" s="43"/>
      <c r="D62" s="43"/>
      <c r="E62" s="43"/>
      <c r="F62" s="43"/>
      <c r="G62" s="43"/>
      <c r="H62" s="43"/>
      <c r="I62" s="41">
        <f>SUM(P36:P61)</f>
        <v>11321.02</v>
      </c>
      <c r="J62" s="42"/>
      <c r="K62" s="27"/>
    </row>
    <row r="65" spans="1:22" ht="16.5" x14ac:dyDescent="0.25">
      <c r="A65" s="45" t="str">
        <f>CONCATENATE("Подраздел: ",IF(Source!G108&lt;&gt;"Новый подраздел", Source!G108, ""))</f>
        <v>Подраздел: Сантехприборы и оборудование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</row>
    <row r="66" spans="1:22" ht="28.5" x14ac:dyDescent="0.2">
      <c r="A66" s="18">
        <v>4</v>
      </c>
      <c r="B66" s="18" t="str">
        <f>Source!F117</f>
        <v>1.16-3201-2-1/1</v>
      </c>
      <c r="C66" s="18" t="str">
        <f>Source!G117</f>
        <v>Укрепление расшатавшихся санитарно-технических приборов - умывальники</v>
      </c>
      <c r="D66" s="19" t="str">
        <f>Source!H117</f>
        <v>100 шт.</v>
      </c>
      <c r="E66" s="9">
        <f>Source!I117</f>
        <v>0.1</v>
      </c>
      <c r="F66" s="21"/>
      <c r="G66" s="20"/>
      <c r="H66" s="9"/>
      <c r="I66" s="9"/>
      <c r="J66" s="21"/>
      <c r="K66" s="21"/>
      <c r="Q66">
        <f>ROUND((Source!BZ117/100)*ROUND((Source!AF117*Source!AV117)*Source!I117, 2), 2)</f>
        <v>3705.48</v>
      </c>
      <c r="R66">
        <f>Source!X117</f>
        <v>3705.48</v>
      </c>
      <c r="S66">
        <f>ROUND((Source!CA117/100)*ROUND((Source!AF117*Source!AV117)*Source!I117, 2), 2)</f>
        <v>529.35</v>
      </c>
      <c r="T66">
        <f>Source!Y117</f>
        <v>529.35</v>
      </c>
      <c r="U66">
        <f>ROUND((175/100)*ROUND((Source!AE117*Source!AV117)*Source!I117, 2), 2)</f>
        <v>0.12</v>
      </c>
      <c r="V66">
        <f>ROUND((108/100)*ROUND(Source!CS117*Source!I117, 2), 2)</f>
        <v>0.08</v>
      </c>
    </row>
    <row r="67" spans="1:22" x14ac:dyDescent="0.2">
      <c r="C67" s="22" t="str">
        <f>"Объем: "&amp;Source!I117&amp;"=(10)/"&amp;"100"</f>
        <v>Объем: 0,1=(10)/100</v>
      </c>
    </row>
    <row r="68" spans="1:22" ht="14.25" x14ac:dyDescent="0.2">
      <c r="A68" s="18"/>
      <c r="B68" s="18"/>
      <c r="C68" s="18" t="s">
        <v>536</v>
      </c>
      <c r="D68" s="19"/>
      <c r="E68" s="9"/>
      <c r="F68" s="21">
        <f>Source!AO117</f>
        <v>52935.41</v>
      </c>
      <c r="G68" s="20" t="str">
        <f>Source!DG117</f>
        <v/>
      </c>
      <c r="H68" s="9">
        <f>Source!AV117</f>
        <v>1</v>
      </c>
      <c r="I68" s="9">
        <f>IF(Source!BA117&lt;&gt; 0, Source!BA117, 1)</f>
        <v>1</v>
      </c>
      <c r="J68" s="21">
        <f>Source!S117</f>
        <v>5293.54</v>
      </c>
      <c r="K68" s="21"/>
    </row>
    <row r="69" spans="1:22" ht="14.25" x14ac:dyDescent="0.2">
      <c r="A69" s="18"/>
      <c r="B69" s="18"/>
      <c r="C69" s="18" t="s">
        <v>542</v>
      </c>
      <c r="D69" s="19"/>
      <c r="E69" s="9"/>
      <c r="F69" s="21">
        <f>Source!AM117</f>
        <v>61.83</v>
      </c>
      <c r="G69" s="20" t="str">
        <f>Source!DE117</f>
        <v/>
      </c>
      <c r="H69" s="9">
        <f>Source!AV117</f>
        <v>1</v>
      </c>
      <c r="I69" s="9">
        <f>IF(Source!BB117&lt;&gt; 0, Source!BB117, 1)</f>
        <v>1</v>
      </c>
      <c r="J69" s="21">
        <f>Source!Q117</f>
        <v>6.18</v>
      </c>
      <c r="K69" s="21"/>
    </row>
    <row r="70" spans="1:22" ht="14.25" x14ac:dyDescent="0.2">
      <c r="A70" s="18"/>
      <c r="B70" s="18"/>
      <c r="C70" s="18" t="s">
        <v>543</v>
      </c>
      <c r="D70" s="19"/>
      <c r="E70" s="9"/>
      <c r="F70" s="21">
        <f>Source!AN117</f>
        <v>0.7</v>
      </c>
      <c r="G70" s="20" t="str">
        <f>Source!DF117</f>
        <v/>
      </c>
      <c r="H70" s="9">
        <f>Source!AV117</f>
        <v>1</v>
      </c>
      <c r="I70" s="9">
        <f>IF(Source!BS117&lt;&gt; 0, Source!BS117, 1)</f>
        <v>1</v>
      </c>
      <c r="J70" s="26">
        <f>Source!R117</f>
        <v>7.0000000000000007E-2</v>
      </c>
      <c r="K70" s="21"/>
    </row>
    <row r="71" spans="1:22" ht="14.25" x14ac:dyDescent="0.2">
      <c r="A71" s="18"/>
      <c r="B71" s="18"/>
      <c r="C71" s="18" t="s">
        <v>544</v>
      </c>
      <c r="D71" s="19"/>
      <c r="E71" s="9"/>
      <c r="F71" s="21">
        <f>Source!AL117</f>
        <v>776.55</v>
      </c>
      <c r="G71" s="20" t="str">
        <f>Source!DD117</f>
        <v/>
      </c>
      <c r="H71" s="9">
        <f>Source!AW117</f>
        <v>1</v>
      </c>
      <c r="I71" s="9">
        <f>IF(Source!BC117&lt;&gt; 0, Source!BC117, 1)</f>
        <v>1</v>
      </c>
      <c r="J71" s="21">
        <f>Source!P117</f>
        <v>77.66</v>
      </c>
      <c r="K71" s="21"/>
    </row>
    <row r="72" spans="1:22" ht="14.25" x14ac:dyDescent="0.2">
      <c r="A72" s="18"/>
      <c r="B72" s="18"/>
      <c r="C72" s="18" t="s">
        <v>537</v>
      </c>
      <c r="D72" s="19" t="s">
        <v>538</v>
      </c>
      <c r="E72" s="9">
        <f>Source!AT117</f>
        <v>70</v>
      </c>
      <c r="F72" s="21"/>
      <c r="G72" s="20"/>
      <c r="H72" s="9"/>
      <c r="I72" s="9"/>
      <c r="J72" s="21">
        <f>SUM(R66:R71)</f>
        <v>3705.48</v>
      </c>
      <c r="K72" s="21"/>
    </row>
    <row r="73" spans="1:22" ht="14.25" x14ac:dyDescent="0.2">
      <c r="A73" s="18"/>
      <c r="B73" s="18"/>
      <c r="C73" s="18" t="s">
        <v>539</v>
      </c>
      <c r="D73" s="19" t="s">
        <v>538</v>
      </c>
      <c r="E73" s="9">
        <f>Source!AU117</f>
        <v>10</v>
      </c>
      <c r="F73" s="21"/>
      <c r="G73" s="20"/>
      <c r="H73" s="9"/>
      <c r="I73" s="9"/>
      <c r="J73" s="21">
        <f>SUM(T66:T72)</f>
        <v>529.35</v>
      </c>
      <c r="K73" s="21"/>
    </row>
    <row r="74" spans="1:22" ht="14.25" x14ac:dyDescent="0.2">
      <c r="A74" s="18"/>
      <c r="B74" s="18"/>
      <c r="C74" s="18" t="s">
        <v>545</v>
      </c>
      <c r="D74" s="19" t="s">
        <v>538</v>
      </c>
      <c r="E74" s="9">
        <f>108</f>
        <v>108</v>
      </c>
      <c r="F74" s="21"/>
      <c r="G74" s="20"/>
      <c r="H74" s="9"/>
      <c r="I74" s="9"/>
      <c r="J74" s="21">
        <f>SUM(V66:V73)</f>
        <v>0.08</v>
      </c>
      <c r="K74" s="21"/>
    </row>
    <row r="75" spans="1:22" ht="14.25" x14ac:dyDescent="0.2">
      <c r="A75" s="18"/>
      <c r="B75" s="18"/>
      <c r="C75" s="18" t="s">
        <v>540</v>
      </c>
      <c r="D75" s="19" t="s">
        <v>541</v>
      </c>
      <c r="E75" s="9">
        <f>Source!AQ117</f>
        <v>104.44</v>
      </c>
      <c r="F75" s="21"/>
      <c r="G75" s="20" t="str">
        <f>Source!DI117</f>
        <v/>
      </c>
      <c r="H75" s="9">
        <f>Source!AV117</f>
        <v>1</v>
      </c>
      <c r="I75" s="9"/>
      <c r="J75" s="21"/>
      <c r="K75" s="21">
        <f>Source!U117</f>
        <v>10.444000000000001</v>
      </c>
    </row>
    <row r="76" spans="1:22" ht="15" x14ac:dyDescent="0.25">
      <c r="A76" s="24"/>
      <c r="B76" s="24"/>
      <c r="C76" s="24"/>
      <c r="D76" s="24"/>
      <c r="E76" s="24"/>
      <c r="F76" s="24"/>
      <c r="G76" s="24"/>
      <c r="H76" s="24"/>
      <c r="I76" s="44">
        <f>J68+J69+J71+J72+J73+J74</f>
        <v>9612.2900000000009</v>
      </c>
      <c r="J76" s="44"/>
      <c r="K76" s="25">
        <f>IF(Source!I117&lt;&gt;0, ROUND(I76/Source!I117, 2), 0)</f>
        <v>96122.9</v>
      </c>
      <c r="P76" s="23">
        <f>I76</f>
        <v>9612.2900000000009</v>
      </c>
    </row>
    <row r="77" spans="1:22" ht="42.75" x14ac:dyDescent="0.2">
      <c r="A77" s="18">
        <v>5</v>
      </c>
      <c r="B77" s="18" t="str">
        <f>Source!F118</f>
        <v>1.16-3201-2-2/1</v>
      </c>
      <c r="C77" s="18" t="str">
        <f>Source!G118</f>
        <v>Укрепление расшатавшихся санитарно-технических приборов - унитазы и биде</v>
      </c>
      <c r="D77" s="19" t="str">
        <f>Source!H118</f>
        <v>100 шт.</v>
      </c>
      <c r="E77" s="9">
        <f>Source!I118</f>
        <v>0.11</v>
      </c>
      <c r="F77" s="21"/>
      <c r="G77" s="20"/>
      <c r="H77" s="9"/>
      <c r="I77" s="9"/>
      <c r="J77" s="21"/>
      <c r="K77" s="21"/>
      <c r="Q77">
        <f>ROUND((Source!BZ118/100)*ROUND((Source!AF118*Source!AV118)*Source!I118, 2), 2)</f>
        <v>5929.44</v>
      </c>
      <c r="R77">
        <f>Source!X118</f>
        <v>5929.44</v>
      </c>
      <c r="S77">
        <f>ROUND((Source!CA118/100)*ROUND((Source!AF118*Source!AV118)*Source!I118, 2), 2)</f>
        <v>847.06</v>
      </c>
      <c r="T77">
        <f>Source!Y118</f>
        <v>847.06</v>
      </c>
      <c r="U77">
        <f>ROUND((175/100)*ROUND((Source!AE118*Source!AV118)*Source!I118, 2), 2)</f>
        <v>0.14000000000000001</v>
      </c>
      <c r="V77">
        <f>ROUND((108/100)*ROUND(Source!CS118*Source!I118, 2), 2)</f>
        <v>0.09</v>
      </c>
    </row>
    <row r="78" spans="1:22" x14ac:dyDescent="0.2">
      <c r="C78" s="22" t="str">
        <f>"Объем: "&amp;Source!I118&amp;"=11/"&amp;"100"</f>
        <v>Объем: 0,11=11/100</v>
      </c>
    </row>
    <row r="79" spans="1:22" ht="14.25" x14ac:dyDescent="0.2">
      <c r="A79" s="18"/>
      <c r="B79" s="18"/>
      <c r="C79" s="18" t="s">
        <v>536</v>
      </c>
      <c r="D79" s="19"/>
      <c r="E79" s="9"/>
      <c r="F79" s="21">
        <f>Source!AO118</f>
        <v>77005.72</v>
      </c>
      <c r="G79" s="20" t="str">
        <f>Source!DG118</f>
        <v/>
      </c>
      <c r="H79" s="9">
        <f>Source!AV118</f>
        <v>1</v>
      </c>
      <c r="I79" s="9">
        <f>IF(Source!BA118&lt;&gt; 0, Source!BA118, 1)</f>
        <v>1</v>
      </c>
      <c r="J79" s="21">
        <f>Source!S118</f>
        <v>8470.6299999999992</v>
      </c>
      <c r="K79" s="21"/>
    </row>
    <row r="80" spans="1:22" ht="14.25" x14ac:dyDescent="0.2">
      <c r="A80" s="18"/>
      <c r="B80" s="18"/>
      <c r="C80" s="18" t="s">
        <v>542</v>
      </c>
      <c r="D80" s="19"/>
      <c r="E80" s="9"/>
      <c r="F80" s="21">
        <f>Source!AM118</f>
        <v>61.83</v>
      </c>
      <c r="G80" s="20" t="str">
        <f>Source!DE118</f>
        <v/>
      </c>
      <c r="H80" s="9">
        <f>Source!AV118</f>
        <v>1</v>
      </c>
      <c r="I80" s="9">
        <f>IF(Source!BB118&lt;&gt; 0, Source!BB118, 1)</f>
        <v>1</v>
      </c>
      <c r="J80" s="21">
        <f>Source!Q118</f>
        <v>6.8</v>
      </c>
      <c r="K80" s="21"/>
    </row>
    <row r="81" spans="1:22" ht="14.25" x14ac:dyDescent="0.2">
      <c r="A81" s="18"/>
      <c r="B81" s="18"/>
      <c r="C81" s="18" t="s">
        <v>543</v>
      </c>
      <c r="D81" s="19"/>
      <c r="E81" s="9"/>
      <c r="F81" s="21">
        <f>Source!AN118</f>
        <v>0.7</v>
      </c>
      <c r="G81" s="20" t="str">
        <f>Source!DF118</f>
        <v/>
      </c>
      <c r="H81" s="9">
        <f>Source!AV118</f>
        <v>1</v>
      </c>
      <c r="I81" s="9">
        <f>IF(Source!BS118&lt;&gt; 0, Source!BS118, 1)</f>
        <v>1</v>
      </c>
      <c r="J81" s="26">
        <f>Source!R118</f>
        <v>0.08</v>
      </c>
      <c r="K81" s="21"/>
    </row>
    <row r="82" spans="1:22" ht="14.25" x14ac:dyDescent="0.2">
      <c r="A82" s="18"/>
      <c r="B82" s="18"/>
      <c r="C82" s="18" t="s">
        <v>544</v>
      </c>
      <c r="D82" s="19"/>
      <c r="E82" s="9"/>
      <c r="F82" s="21">
        <f>Source!AL118</f>
        <v>776.55</v>
      </c>
      <c r="G82" s="20" t="str">
        <f>Source!DD118</f>
        <v/>
      </c>
      <c r="H82" s="9">
        <f>Source!AW118</f>
        <v>1</v>
      </c>
      <c r="I82" s="9">
        <f>IF(Source!BC118&lt;&gt; 0, Source!BC118, 1)</f>
        <v>1</v>
      </c>
      <c r="J82" s="21">
        <f>Source!P118</f>
        <v>85.42</v>
      </c>
      <c r="K82" s="21"/>
    </row>
    <row r="83" spans="1:22" ht="14.25" x14ac:dyDescent="0.2">
      <c r="A83" s="18"/>
      <c r="B83" s="18"/>
      <c r="C83" s="18" t="s">
        <v>537</v>
      </c>
      <c r="D83" s="19" t="s">
        <v>538</v>
      </c>
      <c r="E83" s="9">
        <f>Source!AT118</f>
        <v>70</v>
      </c>
      <c r="F83" s="21"/>
      <c r="G83" s="20"/>
      <c r="H83" s="9"/>
      <c r="I83" s="9"/>
      <c r="J83" s="21">
        <f>SUM(R77:R82)</f>
        <v>5929.44</v>
      </c>
      <c r="K83" s="21"/>
    </row>
    <row r="84" spans="1:22" ht="14.25" x14ac:dyDescent="0.2">
      <c r="A84" s="18"/>
      <c r="B84" s="18"/>
      <c r="C84" s="18" t="s">
        <v>539</v>
      </c>
      <c r="D84" s="19" t="s">
        <v>538</v>
      </c>
      <c r="E84" s="9">
        <f>Source!AU118</f>
        <v>10</v>
      </c>
      <c r="F84" s="21"/>
      <c r="G84" s="20"/>
      <c r="H84" s="9"/>
      <c r="I84" s="9"/>
      <c r="J84" s="21">
        <f>SUM(T77:T83)</f>
        <v>847.06</v>
      </c>
      <c r="K84" s="21"/>
    </row>
    <row r="85" spans="1:22" ht="14.25" x14ac:dyDescent="0.2">
      <c r="A85" s="18"/>
      <c r="B85" s="18"/>
      <c r="C85" s="18" t="s">
        <v>545</v>
      </c>
      <c r="D85" s="19" t="s">
        <v>538</v>
      </c>
      <c r="E85" s="9">
        <f>108</f>
        <v>108</v>
      </c>
      <c r="F85" s="21"/>
      <c r="G85" s="20"/>
      <c r="H85" s="9"/>
      <c r="I85" s="9"/>
      <c r="J85" s="21">
        <f>SUM(V77:V84)</f>
        <v>0.09</v>
      </c>
      <c r="K85" s="21"/>
    </row>
    <row r="86" spans="1:22" ht="14.25" x14ac:dyDescent="0.2">
      <c r="A86" s="18"/>
      <c r="B86" s="18"/>
      <c r="C86" s="18" t="s">
        <v>540</v>
      </c>
      <c r="D86" s="19" t="s">
        <v>541</v>
      </c>
      <c r="E86" s="9">
        <f>Source!AQ118</f>
        <v>151.93</v>
      </c>
      <c r="F86" s="21"/>
      <c r="G86" s="20" t="str">
        <f>Source!DI118</f>
        <v/>
      </c>
      <c r="H86" s="9">
        <f>Source!AV118</f>
        <v>1</v>
      </c>
      <c r="I86" s="9"/>
      <c r="J86" s="21"/>
      <c r="K86" s="21">
        <f>Source!U118</f>
        <v>16.712300000000003</v>
      </c>
    </row>
    <row r="87" spans="1:22" ht="15" x14ac:dyDescent="0.25">
      <c r="A87" s="24"/>
      <c r="B87" s="24"/>
      <c r="C87" s="24"/>
      <c r="D87" s="24"/>
      <c r="E87" s="24"/>
      <c r="F87" s="24"/>
      <c r="G87" s="24"/>
      <c r="H87" s="24"/>
      <c r="I87" s="44">
        <f>J79+J80+J82+J83+J84+J85</f>
        <v>15339.439999999997</v>
      </c>
      <c r="J87" s="44"/>
      <c r="K87" s="25">
        <f>IF(Source!I118&lt;&gt;0, ROUND(I87/Source!I118, 2), 0)</f>
        <v>139449.45000000001</v>
      </c>
      <c r="P87" s="23">
        <f>I87</f>
        <v>15339.439999999997</v>
      </c>
    </row>
    <row r="88" spans="1:22" ht="57" x14ac:dyDescent="0.2">
      <c r="A88" s="18">
        <v>6</v>
      </c>
      <c r="B88" s="18" t="str">
        <f>Source!F119</f>
        <v>1.23-2103-41-1/1</v>
      </c>
      <c r="C88" s="18" t="str">
        <f>Source!G119</f>
        <v>Техническое обслуживание регулирующего клапана / Смеситель для душа; Смеситель для мойки; Смеситель для умывальников</v>
      </c>
      <c r="D88" s="19" t="str">
        <f>Source!H119</f>
        <v>шт.</v>
      </c>
      <c r="E88" s="9">
        <f>Source!I119</f>
        <v>12</v>
      </c>
      <c r="F88" s="21"/>
      <c r="G88" s="20"/>
      <c r="H88" s="9"/>
      <c r="I88" s="9"/>
      <c r="J88" s="21"/>
      <c r="K88" s="21"/>
      <c r="Q88">
        <f>ROUND((Source!BZ119/100)*ROUND((Source!AF119*Source!AV119)*Source!I119, 2), 2)</f>
        <v>1747.2</v>
      </c>
      <c r="R88">
        <f>Source!X119</f>
        <v>1747.2</v>
      </c>
      <c r="S88">
        <f>ROUND((Source!CA119/100)*ROUND((Source!AF119*Source!AV119)*Source!I119, 2), 2)</f>
        <v>249.6</v>
      </c>
      <c r="T88">
        <f>Source!Y119</f>
        <v>249.6</v>
      </c>
      <c r="U88">
        <f>ROUND((175/100)*ROUND((Source!AE119*Source!AV119)*Source!I119, 2), 2)</f>
        <v>1040.97</v>
      </c>
      <c r="V88">
        <f>ROUND((108/100)*ROUND(Source!CS119*Source!I119, 2), 2)</f>
        <v>642.42999999999995</v>
      </c>
    </row>
    <row r="89" spans="1:22" x14ac:dyDescent="0.2">
      <c r="C89" s="22" t="str">
        <f>"Объем: "&amp;Source!I119&amp;"=2+"&amp;"8+"&amp;"1+"&amp;"1"</f>
        <v>Объем: 12=2+8+1+1</v>
      </c>
    </row>
    <row r="90" spans="1:22" ht="14.25" x14ac:dyDescent="0.2">
      <c r="A90" s="18"/>
      <c r="B90" s="18"/>
      <c r="C90" s="18" t="s">
        <v>536</v>
      </c>
      <c r="D90" s="19"/>
      <c r="E90" s="9"/>
      <c r="F90" s="21">
        <f>Source!AO119</f>
        <v>208</v>
      </c>
      <c r="G90" s="20" t="str">
        <f>Source!DG119</f>
        <v/>
      </c>
      <c r="H90" s="9">
        <f>Source!AV119</f>
        <v>1</v>
      </c>
      <c r="I90" s="9">
        <f>IF(Source!BA119&lt;&gt; 0, Source!BA119, 1)</f>
        <v>1</v>
      </c>
      <c r="J90" s="21">
        <f>Source!S119</f>
        <v>2496</v>
      </c>
      <c r="K90" s="21"/>
    </row>
    <row r="91" spans="1:22" ht="14.25" x14ac:dyDescent="0.2">
      <c r="A91" s="18"/>
      <c r="B91" s="18"/>
      <c r="C91" s="18" t="s">
        <v>542</v>
      </c>
      <c r="D91" s="19"/>
      <c r="E91" s="9"/>
      <c r="F91" s="21">
        <f>Source!AM119</f>
        <v>78.180000000000007</v>
      </c>
      <c r="G91" s="20" t="str">
        <f>Source!DE119</f>
        <v/>
      </c>
      <c r="H91" s="9">
        <f>Source!AV119</f>
        <v>1</v>
      </c>
      <c r="I91" s="9">
        <f>IF(Source!BB119&lt;&gt; 0, Source!BB119, 1)</f>
        <v>1</v>
      </c>
      <c r="J91" s="21">
        <f>Source!Q119</f>
        <v>938.16</v>
      </c>
      <c r="K91" s="21"/>
    </row>
    <row r="92" spans="1:22" ht="14.25" x14ac:dyDescent="0.2">
      <c r="A92" s="18"/>
      <c r="B92" s="18"/>
      <c r="C92" s="18" t="s">
        <v>543</v>
      </c>
      <c r="D92" s="19"/>
      <c r="E92" s="9"/>
      <c r="F92" s="21">
        <f>Source!AN119</f>
        <v>49.57</v>
      </c>
      <c r="G92" s="20" t="str">
        <f>Source!DF119</f>
        <v/>
      </c>
      <c r="H92" s="9">
        <f>Source!AV119</f>
        <v>1</v>
      </c>
      <c r="I92" s="9">
        <f>IF(Source!BS119&lt;&gt; 0, Source!BS119, 1)</f>
        <v>1</v>
      </c>
      <c r="J92" s="26">
        <f>Source!R119</f>
        <v>594.84</v>
      </c>
      <c r="K92" s="21"/>
    </row>
    <row r="93" spans="1:22" ht="14.25" x14ac:dyDescent="0.2">
      <c r="A93" s="18"/>
      <c r="B93" s="18"/>
      <c r="C93" s="18" t="s">
        <v>537</v>
      </c>
      <c r="D93" s="19" t="s">
        <v>538</v>
      </c>
      <c r="E93" s="9">
        <f>Source!AT119</f>
        <v>70</v>
      </c>
      <c r="F93" s="21"/>
      <c r="G93" s="20"/>
      <c r="H93" s="9"/>
      <c r="I93" s="9"/>
      <c r="J93" s="21">
        <f>SUM(R88:R92)</f>
        <v>1747.2</v>
      </c>
      <c r="K93" s="21"/>
    </row>
    <row r="94" spans="1:22" ht="14.25" x14ac:dyDescent="0.2">
      <c r="A94" s="18"/>
      <c r="B94" s="18"/>
      <c r="C94" s="18" t="s">
        <v>539</v>
      </c>
      <c r="D94" s="19" t="s">
        <v>538</v>
      </c>
      <c r="E94" s="9">
        <f>Source!AU119</f>
        <v>10</v>
      </c>
      <c r="F94" s="21"/>
      <c r="G94" s="20"/>
      <c r="H94" s="9"/>
      <c r="I94" s="9"/>
      <c r="J94" s="21">
        <f>SUM(T88:T93)</f>
        <v>249.6</v>
      </c>
      <c r="K94" s="21"/>
    </row>
    <row r="95" spans="1:22" ht="14.25" x14ac:dyDescent="0.2">
      <c r="A95" s="18"/>
      <c r="B95" s="18"/>
      <c r="C95" s="18" t="s">
        <v>545</v>
      </c>
      <c r="D95" s="19" t="s">
        <v>538</v>
      </c>
      <c r="E95" s="9">
        <f>108</f>
        <v>108</v>
      </c>
      <c r="F95" s="21"/>
      <c r="G95" s="20"/>
      <c r="H95" s="9"/>
      <c r="I95" s="9"/>
      <c r="J95" s="21">
        <f>SUM(V88:V94)</f>
        <v>642.42999999999995</v>
      </c>
      <c r="K95" s="21"/>
    </row>
    <row r="96" spans="1:22" ht="14.25" x14ac:dyDescent="0.2">
      <c r="A96" s="18"/>
      <c r="B96" s="18"/>
      <c r="C96" s="18" t="s">
        <v>540</v>
      </c>
      <c r="D96" s="19" t="s">
        <v>541</v>
      </c>
      <c r="E96" s="9">
        <f>Source!AQ119</f>
        <v>0.37</v>
      </c>
      <c r="F96" s="21"/>
      <c r="G96" s="20" t="str">
        <f>Source!DI119</f>
        <v/>
      </c>
      <c r="H96" s="9">
        <f>Source!AV119</f>
        <v>1</v>
      </c>
      <c r="I96" s="9"/>
      <c r="J96" s="21"/>
      <c r="K96" s="21">
        <f>Source!U119</f>
        <v>4.4399999999999995</v>
      </c>
    </row>
    <row r="97" spans="1:22" ht="15" x14ac:dyDescent="0.25">
      <c r="A97" s="24"/>
      <c r="B97" s="24"/>
      <c r="C97" s="24"/>
      <c r="D97" s="24"/>
      <c r="E97" s="24"/>
      <c r="F97" s="24"/>
      <c r="G97" s="24"/>
      <c r="H97" s="24"/>
      <c r="I97" s="44">
        <f>J90+J91+J93+J94+J95</f>
        <v>6073.39</v>
      </c>
      <c r="J97" s="44"/>
      <c r="K97" s="25">
        <f>IF(Source!I119&lt;&gt;0, ROUND(I97/Source!I119, 2), 0)</f>
        <v>506.12</v>
      </c>
      <c r="P97" s="23">
        <f>I97</f>
        <v>6073.39</v>
      </c>
    </row>
    <row r="98" spans="1:22" ht="28.5" x14ac:dyDescent="0.2">
      <c r="A98" s="18">
        <v>7</v>
      </c>
      <c r="B98" s="18" t="str">
        <f>Source!F120</f>
        <v>1.16-3201-1-1/1</v>
      </c>
      <c r="C98" s="18" t="str">
        <f>Source!G120</f>
        <v>Регулировка смывного бачка</v>
      </c>
      <c r="D98" s="19" t="str">
        <f>Source!H120</f>
        <v>100 приборов</v>
      </c>
      <c r="E98" s="9">
        <f>Source!I120</f>
        <v>0.11</v>
      </c>
      <c r="F98" s="21"/>
      <c r="G98" s="20"/>
      <c r="H98" s="9"/>
      <c r="I98" s="9"/>
      <c r="J98" s="21"/>
      <c r="K98" s="21"/>
      <c r="Q98">
        <f>ROUND((Source!BZ120/100)*ROUND((Source!AF120*Source!AV120)*Source!I120, 2), 2)</f>
        <v>1224</v>
      </c>
      <c r="R98">
        <f>Source!X120</f>
        <v>1224</v>
      </c>
      <c r="S98">
        <f>ROUND((Source!CA120/100)*ROUND((Source!AF120*Source!AV120)*Source!I120, 2), 2)</f>
        <v>174.86</v>
      </c>
      <c r="T98">
        <f>Source!Y120</f>
        <v>174.86</v>
      </c>
      <c r="U98">
        <f>ROUND((175/100)*ROUND((Source!AE120*Source!AV120)*Source!I120, 2), 2)</f>
        <v>0</v>
      </c>
      <c r="V98">
        <f>ROUND((108/100)*ROUND(Source!CS120*Source!I120, 2), 2)</f>
        <v>0</v>
      </c>
    </row>
    <row r="99" spans="1:22" x14ac:dyDescent="0.2">
      <c r="C99" s="22" t="str">
        <f>"Объем: "&amp;Source!I120&amp;"=11/"&amp;"100"</f>
        <v>Объем: 0,11=11/100</v>
      </c>
    </row>
    <row r="100" spans="1:22" ht="14.25" x14ac:dyDescent="0.2">
      <c r="A100" s="18"/>
      <c r="B100" s="18"/>
      <c r="C100" s="18" t="s">
        <v>536</v>
      </c>
      <c r="D100" s="19"/>
      <c r="E100" s="9"/>
      <c r="F100" s="21">
        <f>Source!AO120</f>
        <v>15896.11</v>
      </c>
      <c r="G100" s="20" t="str">
        <f>Source!DG120</f>
        <v/>
      </c>
      <c r="H100" s="9">
        <f>Source!AV120</f>
        <v>1</v>
      </c>
      <c r="I100" s="9">
        <f>IF(Source!BA120&lt;&gt; 0, Source!BA120, 1)</f>
        <v>1</v>
      </c>
      <c r="J100" s="21">
        <f>Source!S120</f>
        <v>1748.57</v>
      </c>
      <c r="K100" s="21"/>
    </row>
    <row r="101" spans="1:22" ht="14.25" x14ac:dyDescent="0.2">
      <c r="A101" s="18"/>
      <c r="B101" s="18"/>
      <c r="C101" s="18" t="s">
        <v>537</v>
      </c>
      <c r="D101" s="19" t="s">
        <v>538</v>
      </c>
      <c r="E101" s="9">
        <f>Source!AT120</f>
        <v>70</v>
      </c>
      <c r="F101" s="21"/>
      <c r="G101" s="20"/>
      <c r="H101" s="9"/>
      <c r="I101" s="9"/>
      <c r="J101" s="21">
        <f>SUM(R98:R100)</f>
        <v>1224</v>
      </c>
      <c r="K101" s="21"/>
    </row>
    <row r="102" spans="1:22" ht="14.25" x14ac:dyDescent="0.2">
      <c r="A102" s="18"/>
      <c r="B102" s="18"/>
      <c r="C102" s="18" t="s">
        <v>539</v>
      </c>
      <c r="D102" s="19" t="s">
        <v>538</v>
      </c>
      <c r="E102" s="9">
        <f>Source!AU120</f>
        <v>10</v>
      </c>
      <c r="F102" s="21"/>
      <c r="G102" s="20"/>
      <c r="H102" s="9"/>
      <c r="I102" s="9"/>
      <c r="J102" s="21">
        <f>SUM(T98:T101)</f>
        <v>174.86</v>
      </c>
      <c r="K102" s="21"/>
    </row>
    <row r="103" spans="1:22" ht="14.25" x14ac:dyDescent="0.2">
      <c r="A103" s="18"/>
      <c r="B103" s="18"/>
      <c r="C103" s="18" t="s">
        <v>540</v>
      </c>
      <c r="D103" s="19" t="s">
        <v>541</v>
      </c>
      <c r="E103" s="9">
        <f>Source!AQ120</f>
        <v>26.7</v>
      </c>
      <c r="F103" s="21"/>
      <c r="G103" s="20" t="str">
        <f>Source!DI120</f>
        <v/>
      </c>
      <c r="H103" s="9">
        <f>Source!AV120</f>
        <v>1</v>
      </c>
      <c r="I103" s="9"/>
      <c r="J103" s="21"/>
      <c r="K103" s="21">
        <f>Source!U120</f>
        <v>2.9369999999999998</v>
      </c>
    </row>
    <row r="104" spans="1:22" ht="15" x14ac:dyDescent="0.25">
      <c r="A104" s="24"/>
      <c r="B104" s="24"/>
      <c r="C104" s="24"/>
      <c r="D104" s="24"/>
      <c r="E104" s="24"/>
      <c r="F104" s="24"/>
      <c r="G104" s="24"/>
      <c r="H104" s="24"/>
      <c r="I104" s="44">
        <f>J100+J101+J102</f>
        <v>3147.43</v>
      </c>
      <c r="J104" s="44"/>
      <c r="K104" s="25">
        <f>IF(Source!I120&lt;&gt;0, ROUND(I104/Source!I120, 2), 0)</f>
        <v>28613</v>
      </c>
      <c r="P104" s="23">
        <f>I104</f>
        <v>3147.43</v>
      </c>
    </row>
    <row r="105" spans="1:22" ht="28.5" x14ac:dyDescent="0.2">
      <c r="A105" s="18">
        <v>8</v>
      </c>
      <c r="B105" s="18" t="str">
        <f>Source!F121</f>
        <v>1.16-2203-1-1/1</v>
      </c>
      <c r="C105" s="18" t="str">
        <f>Source!G121</f>
        <v>Прочистка сифонов</v>
      </c>
      <c r="D105" s="19" t="str">
        <f>Source!H121</f>
        <v>100 шт.</v>
      </c>
      <c r="E105" s="9">
        <f>Source!I121</f>
        <v>0.12</v>
      </c>
      <c r="F105" s="21"/>
      <c r="G105" s="20"/>
      <c r="H105" s="9"/>
      <c r="I105" s="9"/>
      <c r="J105" s="21"/>
      <c r="K105" s="21"/>
      <c r="Q105">
        <f>ROUND((Source!BZ121/100)*ROUND((Source!AF121*Source!AV121)*Source!I121, 2), 2)</f>
        <v>4771.8500000000004</v>
      </c>
      <c r="R105">
        <f>Source!X121</f>
        <v>4771.8500000000004</v>
      </c>
      <c r="S105">
        <f>ROUND((Source!CA121/100)*ROUND((Source!AF121*Source!AV121)*Source!I121, 2), 2)</f>
        <v>681.69</v>
      </c>
      <c r="T105">
        <f>Source!Y121</f>
        <v>681.69</v>
      </c>
      <c r="U105">
        <f>ROUND((175/100)*ROUND((Source!AE121*Source!AV121)*Source!I121, 2), 2)</f>
        <v>0</v>
      </c>
      <c r="V105">
        <f>ROUND((108/100)*ROUND(Source!CS121*Source!I121, 2), 2)</f>
        <v>0</v>
      </c>
    </row>
    <row r="106" spans="1:22" x14ac:dyDescent="0.2">
      <c r="C106" s="22" t="str">
        <f>"Объем: "&amp;Source!I121&amp;"=(10+"&amp;"1+"&amp;"1)/"&amp;"100"</f>
        <v>Объем: 0,12=(10+1+1)/100</v>
      </c>
    </row>
    <row r="107" spans="1:22" ht="14.25" x14ac:dyDescent="0.2">
      <c r="A107" s="18"/>
      <c r="B107" s="18"/>
      <c r="C107" s="18" t="s">
        <v>536</v>
      </c>
      <c r="D107" s="19"/>
      <c r="E107" s="9"/>
      <c r="F107" s="21">
        <f>Source!AO121</f>
        <v>14201.94</v>
      </c>
      <c r="G107" s="20" t="str">
        <f>Source!DG121</f>
        <v>)*4</v>
      </c>
      <c r="H107" s="9">
        <f>Source!AV121</f>
        <v>1</v>
      </c>
      <c r="I107" s="9">
        <f>IF(Source!BA121&lt;&gt; 0, Source!BA121, 1)</f>
        <v>1</v>
      </c>
      <c r="J107" s="21">
        <f>Source!S121</f>
        <v>6816.93</v>
      </c>
      <c r="K107" s="21"/>
    </row>
    <row r="108" spans="1:22" ht="14.25" x14ac:dyDescent="0.2">
      <c r="A108" s="18"/>
      <c r="B108" s="18"/>
      <c r="C108" s="18" t="s">
        <v>544</v>
      </c>
      <c r="D108" s="19"/>
      <c r="E108" s="9"/>
      <c r="F108" s="21">
        <f>Source!AL121</f>
        <v>243.57</v>
      </c>
      <c r="G108" s="20" t="str">
        <f>Source!DD121</f>
        <v>)*4</v>
      </c>
      <c r="H108" s="9">
        <f>Source!AW121</f>
        <v>1</v>
      </c>
      <c r="I108" s="9">
        <f>IF(Source!BC121&lt;&gt; 0, Source!BC121, 1)</f>
        <v>1</v>
      </c>
      <c r="J108" s="21">
        <f>Source!P121</f>
        <v>116.91</v>
      </c>
      <c r="K108" s="21"/>
    </row>
    <row r="109" spans="1:22" ht="14.25" x14ac:dyDescent="0.2">
      <c r="A109" s="18"/>
      <c r="B109" s="18"/>
      <c r="C109" s="18" t="s">
        <v>537</v>
      </c>
      <c r="D109" s="19" t="s">
        <v>538</v>
      </c>
      <c r="E109" s="9">
        <f>Source!AT121</f>
        <v>70</v>
      </c>
      <c r="F109" s="21"/>
      <c r="G109" s="20"/>
      <c r="H109" s="9"/>
      <c r="I109" s="9"/>
      <c r="J109" s="21">
        <f>SUM(R105:R108)</f>
        <v>4771.8500000000004</v>
      </c>
      <c r="K109" s="21"/>
    </row>
    <row r="110" spans="1:22" ht="14.25" x14ac:dyDescent="0.2">
      <c r="A110" s="18"/>
      <c r="B110" s="18"/>
      <c r="C110" s="18" t="s">
        <v>539</v>
      </c>
      <c r="D110" s="19" t="s">
        <v>538</v>
      </c>
      <c r="E110" s="9">
        <f>Source!AU121</f>
        <v>10</v>
      </c>
      <c r="F110" s="21"/>
      <c r="G110" s="20"/>
      <c r="H110" s="9"/>
      <c r="I110" s="9"/>
      <c r="J110" s="21">
        <f>SUM(T105:T109)</f>
        <v>681.69</v>
      </c>
      <c r="K110" s="21"/>
    </row>
    <row r="111" spans="1:22" ht="14.25" x14ac:dyDescent="0.2">
      <c r="A111" s="18"/>
      <c r="B111" s="18"/>
      <c r="C111" s="18" t="s">
        <v>540</v>
      </c>
      <c r="D111" s="19" t="s">
        <v>541</v>
      </c>
      <c r="E111" s="9">
        <f>Source!AQ121</f>
        <v>28.02</v>
      </c>
      <c r="F111" s="21"/>
      <c r="G111" s="20" t="str">
        <f>Source!DI121</f>
        <v>)*4</v>
      </c>
      <c r="H111" s="9">
        <f>Source!AV121</f>
        <v>1</v>
      </c>
      <c r="I111" s="9"/>
      <c r="J111" s="21"/>
      <c r="K111" s="21">
        <f>Source!U121</f>
        <v>13.449599999999998</v>
      </c>
    </row>
    <row r="112" spans="1:22" ht="15" x14ac:dyDescent="0.25">
      <c r="A112" s="24"/>
      <c r="B112" s="24"/>
      <c r="C112" s="24"/>
      <c r="D112" s="24"/>
      <c r="E112" s="24"/>
      <c r="F112" s="24"/>
      <c r="G112" s="24"/>
      <c r="H112" s="24"/>
      <c r="I112" s="44">
        <f>J107+J108+J109+J110</f>
        <v>12387.380000000001</v>
      </c>
      <c r="J112" s="44"/>
      <c r="K112" s="25">
        <f>IF(Source!I121&lt;&gt;0, ROUND(I112/Source!I121, 2), 0)</f>
        <v>103228.17</v>
      </c>
      <c r="P112" s="23">
        <f>I112</f>
        <v>12387.380000000001</v>
      </c>
    </row>
    <row r="114" spans="1:22" ht="15" x14ac:dyDescent="0.25">
      <c r="A114" s="43" t="str">
        <f>CONCATENATE("Итого по подразделу: ",IF(Source!G124&lt;&gt;"Новый подраздел", Source!G124, ""))</f>
        <v>Итого по подразделу: Сантехприборы и оборудование</v>
      </c>
      <c r="B114" s="43"/>
      <c r="C114" s="43"/>
      <c r="D114" s="43"/>
      <c r="E114" s="43"/>
      <c r="F114" s="43"/>
      <c r="G114" s="43"/>
      <c r="H114" s="43"/>
      <c r="I114" s="41">
        <f>SUM(P65:P113)</f>
        <v>46559.929999999993</v>
      </c>
      <c r="J114" s="42"/>
      <c r="K114" s="27"/>
    </row>
    <row r="117" spans="1:22" ht="15" x14ac:dyDescent="0.25">
      <c r="A117" s="43" t="str">
        <f>CONCATENATE("Итого по разделу: ",IF(Source!G303&lt;&gt;"Новый раздел", Source!G303, ""))</f>
        <v>Итого по разделу: Водоснабжение и водоотведение</v>
      </c>
      <c r="B117" s="43"/>
      <c r="C117" s="43"/>
      <c r="D117" s="43"/>
      <c r="E117" s="43"/>
      <c r="F117" s="43"/>
      <c r="G117" s="43"/>
      <c r="H117" s="43"/>
      <c r="I117" s="41">
        <f>SUM(P34:P116)</f>
        <v>57880.95</v>
      </c>
      <c r="J117" s="42"/>
      <c r="K117" s="27"/>
    </row>
    <row r="120" spans="1:22" ht="16.5" x14ac:dyDescent="0.25">
      <c r="A120" s="45" t="str">
        <f>CONCATENATE("Раздел: ",IF(Source!G333&lt;&gt;"Новый раздел", Source!G333, ""))</f>
        <v>Раздел: Внутренние сети отопления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</row>
    <row r="122" spans="1:22" ht="16.5" x14ac:dyDescent="0.25">
      <c r="A122" s="45" t="str">
        <f>CONCATENATE("Подраздел: ",IF(Source!G337&lt;&gt;"Новый подраздел", Source!G337, ""))</f>
        <v>Подраздел: Отопление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</row>
    <row r="123" spans="1:22" ht="57" x14ac:dyDescent="0.2">
      <c r="A123" s="18">
        <v>9</v>
      </c>
      <c r="B123" s="18" t="str">
        <f>Source!F341</f>
        <v>1.21-2303-50-1/1</v>
      </c>
      <c r="C123" s="18" t="str">
        <f>Source!G341</f>
        <v>Техническое обслуживание  конвектора электрического настенного крепления, с механическим термостатом, мощность до 2,0 кВт</v>
      </c>
      <c r="D123" s="19" t="str">
        <f>Source!H341</f>
        <v>шт.</v>
      </c>
      <c r="E123" s="9">
        <f>Source!I341</f>
        <v>26</v>
      </c>
      <c r="F123" s="21"/>
      <c r="G123" s="20"/>
      <c r="H123" s="9"/>
      <c r="I123" s="9"/>
      <c r="J123" s="21"/>
      <c r="K123" s="21"/>
      <c r="Q123">
        <f>ROUND((Source!BZ341/100)*ROUND((Source!AF341*Source!AV341)*Source!I341, 2), 2)</f>
        <v>1573.39</v>
      </c>
      <c r="R123">
        <f>Source!X341</f>
        <v>1573.39</v>
      </c>
      <c r="S123">
        <f>ROUND((Source!CA341/100)*ROUND((Source!AF341*Source!AV341)*Source!I341, 2), 2)</f>
        <v>224.77</v>
      </c>
      <c r="T123">
        <f>Source!Y341</f>
        <v>224.77</v>
      </c>
      <c r="U123">
        <f>ROUND((175/100)*ROUND((Source!AE341*Source!AV341)*Source!I341, 2), 2)</f>
        <v>0</v>
      </c>
      <c r="V123">
        <f>ROUND((108/100)*ROUND(Source!CS341*Source!I341, 2), 2)</f>
        <v>0</v>
      </c>
    </row>
    <row r="124" spans="1:22" x14ac:dyDescent="0.2">
      <c r="C124" s="22" t="str">
        <f>"Объем: "&amp;Source!I341&amp;"=5+"&amp;"17+"&amp;"4"</f>
        <v>Объем: 26=5+17+4</v>
      </c>
    </row>
    <row r="125" spans="1:22" ht="14.25" x14ac:dyDescent="0.2">
      <c r="A125" s="18"/>
      <c r="B125" s="18"/>
      <c r="C125" s="18" t="s">
        <v>536</v>
      </c>
      <c r="D125" s="19"/>
      <c r="E125" s="9"/>
      <c r="F125" s="21">
        <f>Source!AO341</f>
        <v>86.45</v>
      </c>
      <c r="G125" s="20" t="str">
        <f>Source!DG341</f>
        <v/>
      </c>
      <c r="H125" s="9">
        <f>Source!AV341</f>
        <v>1</v>
      </c>
      <c r="I125" s="9">
        <f>IF(Source!BA341&lt;&gt; 0, Source!BA341, 1)</f>
        <v>1</v>
      </c>
      <c r="J125" s="21">
        <f>Source!S341</f>
        <v>2247.6999999999998</v>
      </c>
      <c r="K125" s="21"/>
    </row>
    <row r="126" spans="1:22" ht="14.25" x14ac:dyDescent="0.2">
      <c r="A126" s="18"/>
      <c r="B126" s="18"/>
      <c r="C126" s="18" t="s">
        <v>542</v>
      </c>
      <c r="D126" s="19"/>
      <c r="E126" s="9"/>
      <c r="F126" s="21">
        <f>Source!AM341</f>
        <v>0.23</v>
      </c>
      <c r="G126" s="20" t="str">
        <f>Source!DE341</f>
        <v/>
      </c>
      <c r="H126" s="9">
        <f>Source!AV341</f>
        <v>1</v>
      </c>
      <c r="I126" s="9">
        <f>IF(Source!BB341&lt;&gt; 0, Source!BB341, 1)</f>
        <v>1</v>
      </c>
      <c r="J126" s="21">
        <f>Source!Q341</f>
        <v>5.98</v>
      </c>
      <c r="K126" s="21"/>
    </row>
    <row r="127" spans="1:22" ht="14.25" x14ac:dyDescent="0.2">
      <c r="A127" s="18"/>
      <c r="B127" s="18"/>
      <c r="C127" s="18" t="s">
        <v>544</v>
      </c>
      <c r="D127" s="19"/>
      <c r="E127" s="9"/>
      <c r="F127" s="21">
        <f>Source!AL341</f>
        <v>2.2000000000000002</v>
      </c>
      <c r="G127" s="20" t="str">
        <f>Source!DD341</f>
        <v/>
      </c>
      <c r="H127" s="9">
        <f>Source!AW341</f>
        <v>1</v>
      </c>
      <c r="I127" s="9">
        <f>IF(Source!BC341&lt;&gt; 0, Source!BC341, 1)</f>
        <v>1</v>
      </c>
      <c r="J127" s="21">
        <f>Source!P341</f>
        <v>57.2</v>
      </c>
      <c r="K127" s="21"/>
    </row>
    <row r="128" spans="1:22" ht="14.25" x14ac:dyDescent="0.2">
      <c r="A128" s="18"/>
      <c r="B128" s="18"/>
      <c r="C128" s="18" t="s">
        <v>537</v>
      </c>
      <c r="D128" s="19" t="s">
        <v>538</v>
      </c>
      <c r="E128" s="9">
        <f>Source!AT341</f>
        <v>70</v>
      </c>
      <c r="F128" s="21"/>
      <c r="G128" s="20"/>
      <c r="H128" s="9"/>
      <c r="I128" s="9"/>
      <c r="J128" s="21">
        <f>SUM(R123:R127)</f>
        <v>1573.39</v>
      </c>
      <c r="K128" s="21"/>
    </row>
    <row r="129" spans="1:22" ht="14.25" x14ac:dyDescent="0.2">
      <c r="A129" s="18"/>
      <c r="B129" s="18"/>
      <c r="C129" s="18" t="s">
        <v>539</v>
      </c>
      <c r="D129" s="19" t="s">
        <v>538</v>
      </c>
      <c r="E129" s="9">
        <f>Source!AU341</f>
        <v>10</v>
      </c>
      <c r="F129" s="21"/>
      <c r="G129" s="20"/>
      <c r="H129" s="9"/>
      <c r="I129" s="9"/>
      <c r="J129" s="21">
        <f>SUM(T123:T128)</f>
        <v>224.77</v>
      </c>
      <c r="K129" s="21"/>
    </row>
    <row r="130" spans="1:22" ht="14.25" x14ac:dyDescent="0.2">
      <c r="A130" s="18"/>
      <c r="B130" s="18"/>
      <c r="C130" s="18" t="s">
        <v>540</v>
      </c>
      <c r="D130" s="19" t="s">
        <v>541</v>
      </c>
      <c r="E130" s="9">
        <f>Source!AQ341</f>
        <v>0.14000000000000001</v>
      </c>
      <c r="F130" s="21"/>
      <c r="G130" s="20" t="str">
        <f>Source!DI341</f>
        <v/>
      </c>
      <c r="H130" s="9">
        <f>Source!AV341</f>
        <v>1</v>
      </c>
      <c r="I130" s="9"/>
      <c r="J130" s="21"/>
      <c r="K130" s="21">
        <f>Source!U341</f>
        <v>3.6400000000000006</v>
      </c>
    </row>
    <row r="131" spans="1:22" ht="15" x14ac:dyDescent="0.25">
      <c r="A131" s="24"/>
      <c r="B131" s="24"/>
      <c r="C131" s="24"/>
      <c r="D131" s="24"/>
      <c r="E131" s="24"/>
      <c r="F131" s="24"/>
      <c r="G131" s="24"/>
      <c r="H131" s="24"/>
      <c r="I131" s="44">
        <f>J125+J126+J127+J128+J129</f>
        <v>4109.04</v>
      </c>
      <c r="J131" s="44"/>
      <c r="K131" s="25">
        <f>IF(Source!I341&lt;&gt;0, ROUND(I131/Source!I341, 2), 0)</f>
        <v>158.04</v>
      </c>
      <c r="P131" s="23">
        <f>I131</f>
        <v>4109.04</v>
      </c>
    </row>
    <row r="133" spans="1:22" ht="15" x14ac:dyDescent="0.25">
      <c r="A133" s="43" t="str">
        <f>CONCATENATE("Итого по подразделу: ",IF(Source!G344&lt;&gt;"Новый подраздел", Source!G344, ""))</f>
        <v>Итого по подразделу: Отопление</v>
      </c>
      <c r="B133" s="43"/>
      <c r="C133" s="43"/>
      <c r="D133" s="43"/>
      <c r="E133" s="43"/>
      <c r="F133" s="43"/>
      <c r="G133" s="43"/>
      <c r="H133" s="43"/>
      <c r="I133" s="41">
        <f>SUM(P122:P132)</f>
        <v>4109.04</v>
      </c>
      <c r="J133" s="42"/>
      <c r="K133" s="27"/>
    </row>
    <row r="136" spans="1:22" ht="15" x14ac:dyDescent="0.25">
      <c r="A136" s="43" t="str">
        <f>CONCATENATE("Итого по разделу: ",IF(Source!G374&lt;&gt;"Новый раздел", Source!G374, ""))</f>
        <v>Итого по разделу: Внутренние сети отопления</v>
      </c>
      <c r="B136" s="43"/>
      <c r="C136" s="43"/>
      <c r="D136" s="43"/>
      <c r="E136" s="43"/>
      <c r="F136" s="43"/>
      <c r="G136" s="43"/>
      <c r="H136" s="43"/>
      <c r="I136" s="41">
        <f>SUM(P120:P135)</f>
        <v>4109.04</v>
      </c>
      <c r="J136" s="42"/>
      <c r="K136" s="27"/>
    </row>
    <row r="139" spans="1:22" ht="16.5" x14ac:dyDescent="0.25">
      <c r="A139" s="45" t="str">
        <f>CONCATENATE("Раздел: ",IF(Source!G404&lt;&gt;"Новый раздел", Source!G404, ""))</f>
        <v>Раздел: Вентиляция и кондиционирование</v>
      </c>
      <c r="B139" s="45"/>
      <c r="C139" s="45"/>
      <c r="D139" s="45"/>
      <c r="E139" s="45"/>
      <c r="F139" s="45"/>
      <c r="G139" s="45"/>
      <c r="H139" s="45"/>
      <c r="I139" s="45"/>
      <c r="J139" s="45"/>
      <c r="K139" s="45"/>
    </row>
    <row r="141" spans="1:22" ht="16.5" x14ac:dyDescent="0.25">
      <c r="A141" s="45" t="str">
        <f>CONCATENATE("Подраздел: ",IF(Source!G408&lt;&gt;"Новый подраздел", Source!G408, ""))</f>
        <v>Подраздел: Вентиляция</v>
      </c>
      <c r="B141" s="45"/>
      <c r="C141" s="45"/>
      <c r="D141" s="45"/>
      <c r="E141" s="45"/>
      <c r="F141" s="45"/>
      <c r="G141" s="45"/>
      <c r="H141" s="45"/>
      <c r="I141" s="45"/>
      <c r="J141" s="45"/>
      <c r="K141" s="45"/>
    </row>
    <row r="142" spans="1:22" ht="42.75" x14ac:dyDescent="0.2">
      <c r="A142" s="18">
        <v>10</v>
      </c>
      <c r="B142" s="18" t="str">
        <f>Source!F415</f>
        <v>1.18-2403-20-3/1</v>
      </c>
      <c r="C142" s="18" t="str">
        <f>Source!G415</f>
        <v>Техническое обслуживание вытяжных установок производительностью до 5000 м3/ч - ежеквартальное</v>
      </c>
      <c r="D142" s="19" t="str">
        <f>Source!H415</f>
        <v>установка</v>
      </c>
      <c r="E142" s="9">
        <f>Source!I415</f>
        <v>5</v>
      </c>
      <c r="F142" s="21"/>
      <c r="G142" s="20"/>
      <c r="H142" s="9"/>
      <c r="I142" s="9"/>
      <c r="J142" s="21"/>
      <c r="K142" s="21"/>
      <c r="Q142">
        <f>ROUND((Source!BZ415/100)*ROUND((Source!AF415*Source!AV415)*Source!I415, 2), 2)</f>
        <v>11055.17</v>
      </c>
      <c r="R142">
        <f>Source!X415</f>
        <v>11055.17</v>
      </c>
      <c r="S142">
        <f>ROUND((Source!CA415/100)*ROUND((Source!AF415*Source!AV415)*Source!I415, 2), 2)</f>
        <v>1579.31</v>
      </c>
      <c r="T142">
        <f>Source!Y415</f>
        <v>1579.31</v>
      </c>
      <c r="U142">
        <f>ROUND((175/100)*ROUND((Source!AE415*Source!AV415)*Source!I415, 2), 2)</f>
        <v>0</v>
      </c>
      <c r="V142">
        <f>ROUND((108/100)*ROUND(Source!CS415*Source!I415, 2), 2)</f>
        <v>0</v>
      </c>
    </row>
    <row r="143" spans="1:22" ht="14.25" x14ac:dyDescent="0.2">
      <c r="A143" s="18"/>
      <c r="B143" s="18"/>
      <c r="C143" s="18" t="s">
        <v>536</v>
      </c>
      <c r="D143" s="19"/>
      <c r="E143" s="9"/>
      <c r="F143" s="21">
        <f>Source!AO415</f>
        <v>1579.31</v>
      </c>
      <c r="G143" s="20" t="str">
        <f>Source!DG415</f>
        <v>)*2</v>
      </c>
      <c r="H143" s="9">
        <f>Source!AV415</f>
        <v>1</v>
      </c>
      <c r="I143" s="9">
        <f>IF(Source!BA415&lt;&gt; 0, Source!BA415, 1)</f>
        <v>1</v>
      </c>
      <c r="J143" s="21">
        <f>Source!S415</f>
        <v>15793.1</v>
      </c>
      <c r="K143" s="21"/>
    </row>
    <row r="144" spans="1:22" ht="14.25" x14ac:dyDescent="0.2">
      <c r="A144" s="18"/>
      <c r="B144" s="18"/>
      <c r="C144" s="18" t="s">
        <v>544</v>
      </c>
      <c r="D144" s="19"/>
      <c r="E144" s="9"/>
      <c r="F144" s="21">
        <f>Source!AL415</f>
        <v>0.03</v>
      </c>
      <c r="G144" s="20" t="str">
        <f>Source!DD415</f>
        <v>)*2</v>
      </c>
      <c r="H144" s="9">
        <f>Source!AW415</f>
        <v>1</v>
      </c>
      <c r="I144" s="9">
        <f>IF(Source!BC415&lt;&gt; 0, Source!BC415, 1)</f>
        <v>1</v>
      </c>
      <c r="J144" s="21">
        <f>Source!P415</f>
        <v>0.3</v>
      </c>
      <c r="K144" s="21"/>
    </row>
    <row r="145" spans="1:22" ht="14.25" x14ac:dyDescent="0.2">
      <c r="A145" s="18"/>
      <c r="B145" s="18"/>
      <c r="C145" s="18" t="s">
        <v>537</v>
      </c>
      <c r="D145" s="19" t="s">
        <v>538</v>
      </c>
      <c r="E145" s="9">
        <f>Source!AT415</f>
        <v>70</v>
      </c>
      <c r="F145" s="21"/>
      <c r="G145" s="20"/>
      <c r="H145" s="9"/>
      <c r="I145" s="9"/>
      <c r="J145" s="21">
        <f>SUM(R142:R144)</f>
        <v>11055.17</v>
      </c>
      <c r="K145" s="21"/>
    </row>
    <row r="146" spans="1:22" ht="14.25" x14ac:dyDescent="0.2">
      <c r="A146" s="18"/>
      <c r="B146" s="18"/>
      <c r="C146" s="18" t="s">
        <v>539</v>
      </c>
      <c r="D146" s="19" t="s">
        <v>538</v>
      </c>
      <c r="E146" s="9">
        <f>Source!AU415</f>
        <v>10</v>
      </c>
      <c r="F146" s="21"/>
      <c r="G146" s="20"/>
      <c r="H146" s="9"/>
      <c r="I146" s="9"/>
      <c r="J146" s="21">
        <f>SUM(T142:T145)</f>
        <v>1579.31</v>
      </c>
      <c r="K146" s="21"/>
    </row>
    <row r="147" spans="1:22" ht="14.25" x14ac:dyDescent="0.2">
      <c r="A147" s="18"/>
      <c r="B147" s="18"/>
      <c r="C147" s="18" t="s">
        <v>540</v>
      </c>
      <c r="D147" s="19" t="s">
        <v>541</v>
      </c>
      <c r="E147" s="9">
        <f>Source!AQ415</f>
        <v>2.38</v>
      </c>
      <c r="F147" s="21"/>
      <c r="G147" s="20" t="str">
        <f>Source!DI415</f>
        <v>)*2</v>
      </c>
      <c r="H147" s="9">
        <f>Source!AV415</f>
        <v>1</v>
      </c>
      <c r="I147" s="9"/>
      <c r="J147" s="21"/>
      <c r="K147" s="21">
        <f>Source!U415</f>
        <v>23.799999999999997</v>
      </c>
    </row>
    <row r="148" spans="1:22" ht="15" x14ac:dyDescent="0.25">
      <c r="A148" s="24"/>
      <c r="B148" s="24"/>
      <c r="C148" s="24"/>
      <c r="D148" s="24"/>
      <c r="E148" s="24"/>
      <c r="F148" s="24"/>
      <c r="G148" s="24"/>
      <c r="H148" s="24"/>
      <c r="I148" s="44">
        <f>J143+J144+J145+J146</f>
        <v>28427.88</v>
      </c>
      <c r="J148" s="44"/>
      <c r="K148" s="25">
        <f>IF(Source!I415&lt;&gt;0, ROUND(I148/Source!I415, 2), 0)</f>
        <v>5685.58</v>
      </c>
      <c r="P148" s="23">
        <f>I148</f>
        <v>28427.88</v>
      </c>
    </row>
    <row r="149" spans="1:22" ht="42.75" x14ac:dyDescent="0.2">
      <c r="A149" s="18">
        <v>11</v>
      </c>
      <c r="B149" s="18" t="str">
        <f>Source!F418</f>
        <v>1.18-2403-20-3/1</v>
      </c>
      <c r="C149" s="18" t="str">
        <f>Source!G418</f>
        <v>Техническое обслуживание вытяжных установок производительностью до 5000 м3/ч - ежеквартальное</v>
      </c>
      <c r="D149" s="19" t="str">
        <f>Source!H418</f>
        <v>установка</v>
      </c>
      <c r="E149" s="9">
        <f>Source!I418</f>
        <v>2</v>
      </c>
      <c r="F149" s="21"/>
      <c r="G149" s="20"/>
      <c r="H149" s="9"/>
      <c r="I149" s="9"/>
      <c r="J149" s="21"/>
      <c r="K149" s="21"/>
      <c r="Q149">
        <f>ROUND((Source!BZ418/100)*ROUND((Source!AF418*Source!AV418)*Source!I418, 2), 2)</f>
        <v>4422.07</v>
      </c>
      <c r="R149">
        <f>Source!X418</f>
        <v>4422.07</v>
      </c>
      <c r="S149">
        <f>ROUND((Source!CA418/100)*ROUND((Source!AF418*Source!AV418)*Source!I418, 2), 2)</f>
        <v>631.72</v>
      </c>
      <c r="T149">
        <f>Source!Y418</f>
        <v>631.72</v>
      </c>
      <c r="U149">
        <f>ROUND((175/100)*ROUND((Source!AE418*Source!AV418)*Source!I418, 2), 2)</f>
        <v>0</v>
      </c>
      <c r="V149">
        <f>ROUND((108/100)*ROUND(Source!CS418*Source!I418, 2), 2)</f>
        <v>0</v>
      </c>
    </row>
    <row r="150" spans="1:22" ht="14.25" x14ac:dyDescent="0.2">
      <c r="A150" s="18"/>
      <c r="B150" s="18"/>
      <c r="C150" s="18" t="s">
        <v>536</v>
      </c>
      <c r="D150" s="19"/>
      <c r="E150" s="9"/>
      <c r="F150" s="21">
        <f>Source!AO418</f>
        <v>1579.31</v>
      </c>
      <c r="G150" s="20" t="str">
        <f>Source!DG418</f>
        <v>)*2</v>
      </c>
      <c r="H150" s="9">
        <f>Source!AV418</f>
        <v>1</v>
      </c>
      <c r="I150" s="9">
        <f>IF(Source!BA418&lt;&gt; 0, Source!BA418, 1)</f>
        <v>1</v>
      </c>
      <c r="J150" s="21">
        <f>Source!S418</f>
        <v>6317.24</v>
      </c>
      <c r="K150" s="21"/>
    </row>
    <row r="151" spans="1:22" ht="14.25" x14ac:dyDescent="0.2">
      <c r="A151" s="18"/>
      <c r="B151" s="18"/>
      <c r="C151" s="18" t="s">
        <v>544</v>
      </c>
      <c r="D151" s="19"/>
      <c r="E151" s="9"/>
      <c r="F151" s="21">
        <f>Source!AL418</f>
        <v>0.03</v>
      </c>
      <c r="G151" s="20" t="str">
        <f>Source!DD418</f>
        <v>)*2</v>
      </c>
      <c r="H151" s="9">
        <f>Source!AW418</f>
        <v>1</v>
      </c>
      <c r="I151" s="9">
        <f>IF(Source!BC418&lt;&gt; 0, Source!BC418, 1)</f>
        <v>1</v>
      </c>
      <c r="J151" s="21">
        <f>Source!P418</f>
        <v>0.12</v>
      </c>
      <c r="K151" s="21"/>
    </row>
    <row r="152" spans="1:22" ht="14.25" x14ac:dyDescent="0.2">
      <c r="A152" s="18"/>
      <c r="B152" s="18"/>
      <c r="C152" s="18" t="s">
        <v>537</v>
      </c>
      <c r="D152" s="19" t="s">
        <v>538</v>
      </c>
      <c r="E152" s="9">
        <f>Source!AT418</f>
        <v>70</v>
      </c>
      <c r="F152" s="21"/>
      <c r="G152" s="20"/>
      <c r="H152" s="9"/>
      <c r="I152" s="9"/>
      <c r="J152" s="21">
        <f>SUM(R149:R151)</f>
        <v>4422.07</v>
      </c>
      <c r="K152" s="21"/>
    </row>
    <row r="153" spans="1:22" ht="14.25" x14ac:dyDescent="0.2">
      <c r="A153" s="18"/>
      <c r="B153" s="18"/>
      <c r="C153" s="18" t="s">
        <v>539</v>
      </c>
      <c r="D153" s="19" t="s">
        <v>538</v>
      </c>
      <c r="E153" s="9">
        <f>Source!AU418</f>
        <v>10</v>
      </c>
      <c r="F153" s="21"/>
      <c r="G153" s="20"/>
      <c r="H153" s="9"/>
      <c r="I153" s="9"/>
      <c r="J153" s="21">
        <f>SUM(T149:T152)</f>
        <v>631.72</v>
      </c>
      <c r="K153" s="21"/>
    </row>
    <row r="154" spans="1:22" ht="14.25" x14ac:dyDescent="0.2">
      <c r="A154" s="18"/>
      <c r="B154" s="18"/>
      <c r="C154" s="18" t="s">
        <v>540</v>
      </c>
      <c r="D154" s="19" t="s">
        <v>541</v>
      </c>
      <c r="E154" s="9">
        <f>Source!AQ418</f>
        <v>2.38</v>
      </c>
      <c r="F154" s="21"/>
      <c r="G154" s="20" t="str">
        <f>Source!DI418</f>
        <v>)*2</v>
      </c>
      <c r="H154" s="9">
        <f>Source!AV418</f>
        <v>1</v>
      </c>
      <c r="I154" s="9"/>
      <c r="J154" s="21"/>
      <c r="K154" s="21">
        <f>Source!U418</f>
        <v>9.52</v>
      </c>
    </row>
    <row r="155" spans="1:22" ht="15" x14ac:dyDescent="0.25">
      <c r="A155" s="24"/>
      <c r="B155" s="24"/>
      <c r="C155" s="24"/>
      <c r="D155" s="24"/>
      <c r="E155" s="24"/>
      <c r="F155" s="24"/>
      <c r="G155" s="24"/>
      <c r="H155" s="24"/>
      <c r="I155" s="44">
        <f>J150+J151+J152+J153</f>
        <v>11371.15</v>
      </c>
      <c r="J155" s="44"/>
      <c r="K155" s="25">
        <f>IF(Source!I418&lt;&gt;0, ROUND(I155/Source!I418, 2), 0)</f>
        <v>5685.58</v>
      </c>
      <c r="P155" s="23">
        <f>I155</f>
        <v>11371.15</v>
      </c>
    </row>
    <row r="156" spans="1:22" ht="57" x14ac:dyDescent="0.2">
      <c r="A156" s="18">
        <v>12</v>
      </c>
      <c r="B156" s="18" t="str">
        <f>Source!F421</f>
        <v>1.23-2103-41-1/1</v>
      </c>
      <c r="C156" s="18" t="str">
        <f>Source!G421</f>
        <v>Техническое обслуживание регулирующего клапана / Заслонки с ручным управлением круглого сечения ( DN315)</v>
      </c>
      <c r="D156" s="19" t="str">
        <f>Source!H421</f>
        <v>шт.</v>
      </c>
      <c r="E156" s="9">
        <f>Source!I421</f>
        <v>16</v>
      </c>
      <c r="F156" s="21"/>
      <c r="G156" s="20"/>
      <c r="H156" s="9"/>
      <c r="I156" s="9"/>
      <c r="J156" s="21"/>
      <c r="K156" s="21"/>
      <c r="Q156">
        <f>ROUND((Source!BZ421/100)*ROUND((Source!AF421*Source!AV421)*Source!I421, 2), 2)</f>
        <v>2329.6</v>
      </c>
      <c r="R156">
        <f>Source!X421</f>
        <v>2329.6</v>
      </c>
      <c r="S156">
        <f>ROUND((Source!CA421/100)*ROUND((Source!AF421*Source!AV421)*Source!I421, 2), 2)</f>
        <v>332.8</v>
      </c>
      <c r="T156">
        <f>Source!Y421</f>
        <v>332.8</v>
      </c>
      <c r="U156">
        <f>ROUND((175/100)*ROUND((Source!AE421*Source!AV421)*Source!I421, 2), 2)</f>
        <v>1387.96</v>
      </c>
      <c r="V156">
        <f>ROUND((108/100)*ROUND(Source!CS421*Source!I421, 2), 2)</f>
        <v>856.57</v>
      </c>
    </row>
    <row r="157" spans="1:22" ht="14.25" x14ac:dyDescent="0.2">
      <c r="A157" s="18"/>
      <c r="B157" s="18"/>
      <c r="C157" s="18" t="s">
        <v>536</v>
      </c>
      <c r="D157" s="19"/>
      <c r="E157" s="9"/>
      <c r="F157" s="21">
        <f>Source!AO421</f>
        <v>208</v>
      </c>
      <c r="G157" s="20" t="str">
        <f>Source!DG421</f>
        <v/>
      </c>
      <c r="H157" s="9">
        <f>Source!AV421</f>
        <v>1</v>
      </c>
      <c r="I157" s="9">
        <f>IF(Source!BA421&lt;&gt; 0, Source!BA421, 1)</f>
        <v>1</v>
      </c>
      <c r="J157" s="21">
        <f>Source!S421</f>
        <v>3328</v>
      </c>
      <c r="K157" s="21"/>
    </row>
    <row r="158" spans="1:22" ht="14.25" x14ac:dyDescent="0.2">
      <c r="A158" s="18"/>
      <c r="B158" s="18"/>
      <c r="C158" s="18" t="s">
        <v>542</v>
      </c>
      <c r="D158" s="19"/>
      <c r="E158" s="9"/>
      <c r="F158" s="21">
        <f>Source!AM421</f>
        <v>78.180000000000007</v>
      </c>
      <c r="G158" s="20" t="str">
        <f>Source!DE421</f>
        <v/>
      </c>
      <c r="H158" s="9">
        <f>Source!AV421</f>
        <v>1</v>
      </c>
      <c r="I158" s="9">
        <f>IF(Source!BB421&lt;&gt; 0, Source!BB421, 1)</f>
        <v>1</v>
      </c>
      <c r="J158" s="21">
        <f>Source!Q421</f>
        <v>1250.8800000000001</v>
      </c>
      <c r="K158" s="21"/>
    </row>
    <row r="159" spans="1:22" ht="14.25" x14ac:dyDescent="0.2">
      <c r="A159" s="18"/>
      <c r="B159" s="18"/>
      <c r="C159" s="18" t="s">
        <v>543</v>
      </c>
      <c r="D159" s="19"/>
      <c r="E159" s="9"/>
      <c r="F159" s="21">
        <f>Source!AN421</f>
        <v>49.57</v>
      </c>
      <c r="G159" s="20" t="str">
        <f>Source!DF421</f>
        <v/>
      </c>
      <c r="H159" s="9">
        <f>Source!AV421</f>
        <v>1</v>
      </c>
      <c r="I159" s="9">
        <f>IF(Source!BS421&lt;&gt; 0, Source!BS421, 1)</f>
        <v>1</v>
      </c>
      <c r="J159" s="26">
        <f>Source!R421</f>
        <v>793.12</v>
      </c>
      <c r="K159" s="21"/>
    </row>
    <row r="160" spans="1:22" ht="14.25" x14ac:dyDescent="0.2">
      <c r="A160" s="18"/>
      <c r="B160" s="18"/>
      <c r="C160" s="18" t="s">
        <v>537</v>
      </c>
      <c r="D160" s="19" t="s">
        <v>538</v>
      </c>
      <c r="E160" s="9">
        <f>Source!AT421</f>
        <v>70</v>
      </c>
      <c r="F160" s="21"/>
      <c r="G160" s="20"/>
      <c r="H160" s="9"/>
      <c r="I160" s="9"/>
      <c r="J160" s="21">
        <f>SUM(R156:R159)</f>
        <v>2329.6</v>
      </c>
      <c r="K160" s="21"/>
    </row>
    <row r="161" spans="1:22" ht="14.25" x14ac:dyDescent="0.2">
      <c r="A161" s="18"/>
      <c r="B161" s="18"/>
      <c r="C161" s="18" t="s">
        <v>539</v>
      </c>
      <c r="D161" s="19" t="s">
        <v>538</v>
      </c>
      <c r="E161" s="9">
        <f>Source!AU421</f>
        <v>10</v>
      </c>
      <c r="F161" s="21"/>
      <c r="G161" s="20"/>
      <c r="H161" s="9"/>
      <c r="I161" s="9"/>
      <c r="J161" s="21">
        <f>SUM(T156:T160)</f>
        <v>332.8</v>
      </c>
      <c r="K161" s="21"/>
    </row>
    <row r="162" spans="1:22" ht="14.25" x14ac:dyDescent="0.2">
      <c r="A162" s="18"/>
      <c r="B162" s="18"/>
      <c r="C162" s="18" t="s">
        <v>545</v>
      </c>
      <c r="D162" s="19" t="s">
        <v>538</v>
      </c>
      <c r="E162" s="9">
        <f>108</f>
        <v>108</v>
      </c>
      <c r="F162" s="21"/>
      <c r="G162" s="20"/>
      <c r="H162" s="9"/>
      <c r="I162" s="9"/>
      <c r="J162" s="21">
        <f>SUM(V156:V161)</f>
        <v>856.57</v>
      </c>
      <c r="K162" s="21"/>
    </row>
    <row r="163" spans="1:22" ht="14.25" x14ac:dyDescent="0.2">
      <c r="A163" s="18"/>
      <c r="B163" s="18"/>
      <c r="C163" s="18" t="s">
        <v>540</v>
      </c>
      <c r="D163" s="19" t="s">
        <v>541</v>
      </c>
      <c r="E163" s="9">
        <f>Source!AQ421</f>
        <v>0.37</v>
      </c>
      <c r="F163" s="21"/>
      <c r="G163" s="20" t="str">
        <f>Source!DI421</f>
        <v/>
      </c>
      <c r="H163" s="9">
        <f>Source!AV421</f>
        <v>1</v>
      </c>
      <c r="I163" s="9"/>
      <c r="J163" s="21"/>
      <c r="K163" s="21">
        <f>Source!U421</f>
        <v>5.92</v>
      </c>
    </row>
    <row r="164" spans="1:22" ht="15" x14ac:dyDescent="0.25">
      <c r="A164" s="24"/>
      <c r="B164" s="24"/>
      <c r="C164" s="24"/>
      <c r="D164" s="24"/>
      <c r="E164" s="24"/>
      <c r="F164" s="24"/>
      <c r="G164" s="24"/>
      <c r="H164" s="24"/>
      <c r="I164" s="44">
        <f>J157+J158+J160+J161+J162</f>
        <v>8097.8499999999995</v>
      </c>
      <c r="J164" s="44"/>
      <c r="K164" s="25">
        <f>IF(Source!I421&lt;&gt;0, ROUND(I164/Source!I421, 2), 0)</f>
        <v>506.12</v>
      </c>
      <c r="P164" s="23">
        <f>I164</f>
        <v>8097.8499999999995</v>
      </c>
    </row>
    <row r="165" spans="1:22" ht="57" x14ac:dyDescent="0.2">
      <c r="A165" s="18">
        <v>13</v>
      </c>
      <c r="B165" s="18" t="str">
        <f>Source!F423</f>
        <v>1.18-2203-3-6/1</v>
      </c>
      <c r="C165" s="18" t="str">
        <f>Source!G423</f>
        <v>Техническое обслуживание клапанов воздушных регулирующих с ручным приводом диаметром/периметром до 560/1600 мм</v>
      </c>
      <c r="D165" s="19" t="str">
        <f>Source!H423</f>
        <v>шт.</v>
      </c>
      <c r="E165" s="9">
        <f>Source!I423</f>
        <v>2</v>
      </c>
      <c r="F165" s="21"/>
      <c r="G165" s="20"/>
      <c r="H165" s="9"/>
      <c r="I165" s="9"/>
      <c r="J165" s="21"/>
      <c r="K165" s="21"/>
      <c r="Q165">
        <f>ROUND((Source!BZ423/100)*ROUND((Source!AF423*Source!AV423)*Source!I423, 2), 2)</f>
        <v>207.48</v>
      </c>
      <c r="R165">
        <f>Source!X423</f>
        <v>207.48</v>
      </c>
      <c r="S165">
        <f>ROUND((Source!CA423/100)*ROUND((Source!AF423*Source!AV423)*Source!I423, 2), 2)</f>
        <v>29.64</v>
      </c>
      <c r="T165">
        <f>Source!Y423</f>
        <v>29.64</v>
      </c>
      <c r="U165">
        <f>ROUND((175/100)*ROUND((Source!AE423*Source!AV423)*Source!I423, 2), 2)</f>
        <v>86.77</v>
      </c>
      <c r="V165">
        <f>ROUND((108/100)*ROUND(Source!CS423*Source!I423, 2), 2)</f>
        <v>53.55</v>
      </c>
    </row>
    <row r="166" spans="1:22" ht="14.25" x14ac:dyDescent="0.2">
      <c r="A166" s="18"/>
      <c r="B166" s="18"/>
      <c r="C166" s="18" t="s">
        <v>536</v>
      </c>
      <c r="D166" s="19"/>
      <c r="E166" s="9"/>
      <c r="F166" s="21">
        <f>Source!AO423</f>
        <v>148.19999999999999</v>
      </c>
      <c r="G166" s="20" t="str">
        <f>Source!DG423</f>
        <v/>
      </c>
      <c r="H166" s="9">
        <f>Source!AV423</f>
        <v>1</v>
      </c>
      <c r="I166" s="9">
        <f>IF(Source!BA423&lt;&gt; 0, Source!BA423, 1)</f>
        <v>1</v>
      </c>
      <c r="J166" s="21">
        <f>Source!S423</f>
        <v>296.39999999999998</v>
      </c>
      <c r="K166" s="21"/>
    </row>
    <row r="167" spans="1:22" ht="14.25" x14ac:dyDescent="0.2">
      <c r="A167" s="18"/>
      <c r="B167" s="18"/>
      <c r="C167" s="18" t="s">
        <v>542</v>
      </c>
      <c r="D167" s="19"/>
      <c r="E167" s="9"/>
      <c r="F167" s="21">
        <f>Source!AM423</f>
        <v>39.090000000000003</v>
      </c>
      <c r="G167" s="20" t="str">
        <f>Source!DE423</f>
        <v/>
      </c>
      <c r="H167" s="9">
        <f>Source!AV423</f>
        <v>1</v>
      </c>
      <c r="I167" s="9">
        <f>IF(Source!BB423&lt;&gt; 0, Source!BB423, 1)</f>
        <v>1</v>
      </c>
      <c r="J167" s="21">
        <f>Source!Q423</f>
        <v>78.180000000000007</v>
      </c>
      <c r="K167" s="21"/>
    </row>
    <row r="168" spans="1:22" ht="14.25" x14ac:dyDescent="0.2">
      <c r="A168" s="18"/>
      <c r="B168" s="18"/>
      <c r="C168" s="18" t="s">
        <v>543</v>
      </c>
      <c r="D168" s="19"/>
      <c r="E168" s="9"/>
      <c r="F168" s="21">
        <f>Source!AN423</f>
        <v>24.79</v>
      </c>
      <c r="G168" s="20" t="str">
        <f>Source!DF423</f>
        <v/>
      </c>
      <c r="H168" s="9">
        <f>Source!AV423</f>
        <v>1</v>
      </c>
      <c r="I168" s="9">
        <f>IF(Source!BS423&lt;&gt; 0, Source!BS423, 1)</f>
        <v>1</v>
      </c>
      <c r="J168" s="26">
        <f>Source!R423</f>
        <v>49.58</v>
      </c>
      <c r="K168" s="21"/>
    </row>
    <row r="169" spans="1:22" ht="14.25" x14ac:dyDescent="0.2">
      <c r="A169" s="18"/>
      <c r="B169" s="18"/>
      <c r="C169" s="18" t="s">
        <v>544</v>
      </c>
      <c r="D169" s="19"/>
      <c r="E169" s="9"/>
      <c r="F169" s="21">
        <f>Source!AL423</f>
        <v>0.47</v>
      </c>
      <c r="G169" s="20" t="str">
        <f>Source!DD423</f>
        <v/>
      </c>
      <c r="H169" s="9">
        <f>Source!AW423</f>
        <v>1</v>
      </c>
      <c r="I169" s="9">
        <f>IF(Source!BC423&lt;&gt; 0, Source!BC423, 1)</f>
        <v>1</v>
      </c>
      <c r="J169" s="21">
        <f>Source!P423</f>
        <v>0.94</v>
      </c>
      <c r="K169" s="21"/>
    </row>
    <row r="170" spans="1:22" ht="14.25" x14ac:dyDescent="0.2">
      <c r="A170" s="18"/>
      <c r="B170" s="18"/>
      <c r="C170" s="18" t="s">
        <v>537</v>
      </c>
      <c r="D170" s="19" t="s">
        <v>538</v>
      </c>
      <c r="E170" s="9">
        <f>Source!AT423</f>
        <v>70</v>
      </c>
      <c r="F170" s="21"/>
      <c r="G170" s="20"/>
      <c r="H170" s="9"/>
      <c r="I170" s="9"/>
      <c r="J170" s="21">
        <f>SUM(R165:R169)</f>
        <v>207.48</v>
      </c>
      <c r="K170" s="21"/>
    </row>
    <row r="171" spans="1:22" ht="14.25" x14ac:dyDescent="0.2">
      <c r="A171" s="18"/>
      <c r="B171" s="18"/>
      <c r="C171" s="18" t="s">
        <v>539</v>
      </c>
      <c r="D171" s="19" t="s">
        <v>538</v>
      </c>
      <c r="E171" s="9">
        <f>Source!AU423</f>
        <v>10</v>
      </c>
      <c r="F171" s="21"/>
      <c r="G171" s="20"/>
      <c r="H171" s="9"/>
      <c r="I171" s="9"/>
      <c r="J171" s="21">
        <f>SUM(T165:T170)</f>
        <v>29.64</v>
      </c>
      <c r="K171" s="21"/>
    </row>
    <row r="172" spans="1:22" ht="14.25" x14ac:dyDescent="0.2">
      <c r="A172" s="18"/>
      <c r="B172" s="18"/>
      <c r="C172" s="18" t="s">
        <v>545</v>
      </c>
      <c r="D172" s="19" t="s">
        <v>538</v>
      </c>
      <c r="E172" s="9">
        <f>108</f>
        <v>108</v>
      </c>
      <c r="F172" s="21"/>
      <c r="G172" s="20"/>
      <c r="H172" s="9"/>
      <c r="I172" s="9"/>
      <c r="J172" s="21">
        <f>SUM(V165:V171)</f>
        <v>53.55</v>
      </c>
      <c r="K172" s="21"/>
    </row>
    <row r="173" spans="1:22" ht="14.25" x14ac:dyDescent="0.2">
      <c r="A173" s="18"/>
      <c r="B173" s="18"/>
      <c r="C173" s="18" t="s">
        <v>540</v>
      </c>
      <c r="D173" s="19" t="s">
        <v>541</v>
      </c>
      <c r="E173" s="9">
        <f>Source!AQ423</f>
        <v>0.24</v>
      </c>
      <c r="F173" s="21"/>
      <c r="G173" s="20" t="str">
        <f>Source!DI423</f>
        <v/>
      </c>
      <c r="H173" s="9">
        <f>Source!AV423</f>
        <v>1</v>
      </c>
      <c r="I173" s="9"/>
      <c r="J173" s="21"/>
      <c r="K173" s="21">
        <f>Source!U423</f>
        <v>0.48</v>
      </c>
    </row>
    <row r="174" spans="1:22" ht="15" x14ac:dyDescent="0.25">
      <c r="A174" s="24"/>
      <c r="B174" s="24"/>
      <c r="C174" s="24"/>
      <c r="D174" s="24"/>
      <c r="E174" s="24"/>
      <c r="F174" s="24"/>
      <c r="G174" s="24"/>
      <c r="H174" s="24"/>
      <c r="I174" s="44">
        <f>J166+J167+J169+J170+J171+J172</f>
        <v>666.18999999999994</v>
      </c>
      <c r="J174" s="44"/>
      <c r="K174" s="25">
        <f>IF(Source!I423&lt;&gt;0, ROUND(I174/Source!I423, 2), 0)</f>
        <v>333.1</v>
      </c>
      <c r="P174" s="23">
        <f>I174</f>
        <v>666.18999999999994</v>
      </c>
    </row>
    <row r="176" spans="1:22" ht="15" x14ac:dyDescent="0.25">
      <c r="A176" s="43" t="str">
        <f>CONCATENATE("Итого по подразделу: ",IF(Source!G426&lt;&gt;"Новый подраздел", Source!G426, ""))</f>
        <v>Итого по подразделу: Вентиляция</v>
      </c>
      <c r="B176" s="43"/>
      <c r="C176" s="43"/>
      <c r="D176" s="43"/>
      <c r="E176" s="43"/>
      <c r="F176" s="43"/>
      <c r="G176" s="43"/>
      <c r="H176" s="43"/>
      <c r="I176" s="41">
        <f>SUM(P141:P175)</f>
        <v>48563.07</v>
      </c>
      <c r="J176" s="42"/>
      <c r="K176" s="27"/>
    </row>
    <row r="179" spans="1:22" ht="15" x14ac:dyDescent="0.25">
      <c r="A179" s="43" t="str">
        <f>CONCATENATE("Итого по разделу: ",IF(Source!G456&lt;&gt;"Новый раздел", Source!G456, ""))</f>
        <v>Итого по разделу: Вентиляция и кондиционирование</v>
      </c>
      <c r="B179" s="43"/>
      <c r="C179" s="43"/>
      <c r="D179" s="43"/>
      <c r="E179" s="43"/>
      <c r="F179" s="43"/>
      <c r="G179" s="43"/>
      <c r="H179" s="43"/>
      <c r="I179" s="41">
        <f>SUM(P139:P178)</f>
        <v>48563.07</v>
      </c>
      <c r="J179" s="42"/>
      <c r="K179" s="27"/>
    </row>
    <row r="182" spans="1:22" ht="16.5" x14ac:dyDescent="0.25">
      <c r="A182" s="45" t="str">
        <f>CONCATENATE("Раздел: ",IF(Source!G486&lt;&gt;"Новый раздел", Source!G486, ""))</f>
        <v>Раздел: Электроснабжение и электроосвещение</v>
      </c>
      <c r="B182" s="45"/>
      <c r="C182" s="45"/>
      <c r="D182" s="45"/>
      <c r="E182" s="45"/>
      <c r="F182" s="45"/>
      <c r="G182" s="45"/>
      <c r="H182" s="45"/>
      <c r="I182" s="45"/>
      <c r="J182" s="45"/>
      <c r="K182" s="45"/>
    </row>
    <row r="184" spans="1:22" ht="16.5" x14ac:dyDescent="0.25">
      <c r="A184" s="45" t="str">
        <f>CONCATENATE("Подраздел: ",IF(Source!G490&lt;&gt;"Новый подраздел", Source!G490, ""))</f>
        <v>Подраздел: Оборудование</v>
      </c>
      <c r="B184" s="45"/>
      <c r="C184" s="45"/>
      <c r="D184" s="45"/>
      <c r="E184" s="45"/>
      <c r="F184" s="45"/>
      <c r="G184" s="45"/>
      <c r="H184" s="45"/>
      <c r="I184" s="45"/>
      <c r="J184" s="45"/>
      <c r="K184" s="45"/>
    </row>
    <row r="185" spans="1:22" ht="85.5" x14ac:dyDescent="0.2">
      <c r="A185" s="18">
        <v>14</v>
      </c>
      <c r="B185" s="18" t="str">
        <f>Source!F498</f>
        <v>1.21-2203-37-1/1</v>
      </c>
      <c r="C185" s="18" t="str">
        <f>Source!G498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185" s="19" t="str">
        <f>Source!H498</f>
        <v>шт.</v>
      </c>
      <c r="E185" s="9">
        <f>Source!I498</f>
        <v>1</v>
      </c>
      <c r="F185" s="21"/>
      <c r="G185" s="20"/>
      <c r="H185" s="9"/>
      <c r="I185" s="9"/>
      <c r="J185" s="21"/>
      <c r="K185" s="21"/>
      <c r="Q185">
        <f>ROUND((Source!BZ498/100)*ROUND((Source!AF498*Source!AV498)*Source!I498, 2), 2)</f>
        <v>236.12</v>
      </c>
      <c r="R185">
        <f>Source!X498</f>
        <v>236.12</v>
      </c>
      <c r="S185">
        <f>ROUND((Source!CA498/100)*ROUND((Source!AF498*Source!AV498)*Source!I498, 2), 2)</f>
        <v>33.729999999999997</v>
      </c>
      <c r="T185">
        <f>Source!Y498</f>
        <v>33.729999999999997</v>
      </c>
      <c r="U185">
        <f>ROUND((175/100)*ROUND((Source!AE498*Source!AV498)*Source!I498, 2), 2)</f>
        <v>0</v>
      </c>
      <c r="V185">
        <f>ROUND((108/100)*ROUND(Source!CS498*Source!I498, 2), 2)</f>
        <v>0</v>
      </c>
    </row>
    <row r="186" spans="1:22" ht="14.25" x14ac:dyDescent="0.2">
      <c r="A186" s="18"/>
      <c r="B186" s="18"/>
      <c r="C186" s="18" t="s">
        <v>536</v>
      </c>
      <c r="D186" s="19"/>
      <c r="E186" s="9"/>
      <c r="F186" s="21">
        <f>Source!AO498</f>
        <v>337.31</v>
      </c>
      <c r="G186" s="20" t="str">
        <f>Source!DG498</f>
        <v/>
      </c>
      <c r="H186" s="9">
        <f>Source!AV498</f>
        <v>1</v>
      </c>
      <c r="I186" s="9">
        <f>IF(Source!BA498&lt;&gt; 0, Source!BA498, 1)</f>
        <v>1</v>
      </c>
      <c r="J186" s="21">
        <f>Source!S498</f>
        <v>337.31</v>
      </c>
      <c r="K186" s="21"/>
    </row>
    <row r="187" spans="1:22" ht="14.25" x14ac:dyDescent="0.2">
      <c r="A187" s="18"/>
      <c r="B187" s="18"/>
      <c r="C187" s="18" t="s">
        <v>544</v>
      </c>
      <c r="D187" s="19"/>
      <c r="E187" s="9"/>
      <c r="F187" s="21">
        <f>Source!AL498</f>
        <v>1.57</v>
      </c>
      <c r="G187" s="20" t="str">
        <f>Source!DD498</f>
        <v/>
      </c>
      <c r="H187" s="9">
        <f>Source!AW498</f>
        <v>1</v>
      </c>
      <c r="I187" s="9">
        <f>IF(Source!BC498&lt;&gt; 0, Source!BC498, 1)</f>
        <v>1</v>
      </c>
      <c r="J187" s="21">
        <f>Source!P498</f>
        <v>1.57</v>
      </c>
      <c r="K187" s="21"/>
    </row>
    <row r="188" spans="1:22" ht="14.25" x14ac:dyDescent="0.2">
      <c r="A188" s="18"/>
      <c r="B188" s="18"/>
      <c r="C188" s="18" t="s">
        <v>537</v>
      </c>
      <c r="D188" s="19" t="s">
        <v>538</v>
      </c>
      <c r="E188" s="9">
        <f>Source!AT498</f>
        <v>70</v>
      </c>
      <c r="F188" s="21"/>
      <c r="G188" s="20"/>
      <c r="H188" s="9"/>
      <c r="I188" s="9"/>
      <c r="J188" s="21">
        <f>SUM(R185:R187)</f>
        <v>236.12</v>
      </c>
      <c r="K188" s="21"/>
    </row>
    <row r="189" spans="1:22" ht="14.25" x14ac:dyDescent="0.2">
      <c r="A189" s="18"/>
      <c r="B189" s="18"/>
      <c r="C189" s="18" t="s">
        <v>539</v>
      </c>
      <c r="D189" s="19" t="s">
        <v>538</v>
      </c>
      <c r="E189" s="9">
        <f>Source!AU498</f>
        <v>10</v>
      </c>
      <c r="F189" s="21"/>
      <c r="G189" s="20"/>
      <c r="H189" s="9"/>
      <c r="I189" s="9"/>
      <c r="J189" s="21">
        <f>SUM(T185:T188)</f>
        <v>33.729999999999997</v>
      </c>
      <c r="K189" s="21"/>
    </row>
    <row r="190" spans="1:22" ht="14.25" x14ac:dyDescent="0.2">
      <c r="A190" s="18"/>
      <c r="B190" s="18"/>
      <c r="C190" s="18" t="s">
        <v>540</v>
      </c>
      <c r="D190" s="19" t="s">
        <v>541</v>
      </c>
      <c r="E190" s="9">
        <f>Source!AQ498</f>
        <v>0.6</v>
      </c>
      <c r="F190" s="21"/>
      <c r="G190" s="20" t="str">
        <f>Source!DI498</f>
        <v/>
      </c>
      <c r="H190" s="9">
        <f>Source!AV498</f>
        <v>1</v>
      </c>
      <c r="I190" s="9"/>
      <c r="J190" s="21"/>
      <c r="K190" s="21">
        <f>Source!U498</f>
        <v>0.6</v>
      </c>
    </row>
    <row r="191" spans="1:22" ht="15" x14ac:dyDescent="0.25">
      <c r="A191" s="24"/>
      <c r="B191" s="24"/>
      <c r="C191" s="24"/>
      <c r="D191" s="24"/>
      <c r="E191" s="24"/>
      <c r="F191" s="24"/>
      <c r="G191" s="24"/>
      <c r="H191" s="24"/>
      <c r="I191" s="44">
        <f>J186+J187+J188+J189</f>
        <v>608.73</v>
      </c>
      <c r="J191" s="44"/>
      <c r="K191" s="25">
        <f>IF(Source!I498&lt;&gt;0, ROUND(I191/Source!I498, 2), 0)</f>
        <v>608.73</v>
      </c>
      <c r="P191" s="23">
        <f>I191</f>
        <v>608.73</v>
      </c>
    </row>
    <row r="192" spans="1:22" ht="57" x14ac:dyDescent="0.2">
      <c r="A192" s="18">
        <v>15</v>
      </c>
      <c r="B192" s="18" t="str">
        <f>Source!F499</f>
        <v>1.21-2303-3-1/1</v>
      </c>
      <c r="C192" s="18" t="str">
        <f>Source!G499</f>
        <v>Техническое обслуживание выключателей автоматических трехполюсных установочных, номинальный ток до 200 А,</v>
      </c>
      <c r="D192" s="19" t="str">
        <f>Source!H499</f>
        <v>шт.</v>
      </c>
      <c r="E192" s="9">
        <f>Source!I499</f>
        <v>11</v>
      </c>
      <c r="F192" s="21"/>
      <c r="G192" s="20"/>
      <c r="H192" s="9"/>
      <c r="I192" s="9"/>
      <c r="J192" s="21"/>
      <c r="K192" s="21"/>
      <c r="Q192">
        <f>ROUND((Source!BZ499/100)*ROUND((Source!AF499*Source!AV499)*Source!I499, 2), 2)</f>
        <v>7131.97</v>
      </c>
      <c r="R192">
        <f>Source!X499</f>
        <v>7131.97</v>
      </c>
      <c r="S192">
        <f>ROUND((Source!CA499/100)*ROUND((Source!AF499*Source!AV499)*Source!I499, 2), 2)</f>
        <v>1018.85</v>
      </c>
      <c r="T192">
        <f>Source!Y499</f>
        <v>1018.85</v>
      </c>
      <c r="U192">
        <f>ROUND((175/100)*ROUND((Source!AE499*Source!AV499)*Source!I499, 2), 2)</f>
        <v>0</v>
      </c>
      <c r="V192">
        <f>ROUND((108/100)*ROUND(Source!CS499*Source!I499, 2), 2)</f>
        <v>0</v>
      </c>
    </row>
    <row r="193" spans="1:22" x14ac:dyDescent="0.2">
      <c r="C193" s="22" t="str">
        <f>"Объем: "&amp;Source!I499&amp;"=1+"&amp;"3+"&amp;"2+"&amp;"5"</f>
        <v>Объем: 11=1+3+2+5</v>
      </c>
    </row>
    <row r="194" spans="1:22" ht="14.25" x14ac:dyDescent="0.2">
      <c r="A194" s="18"/>
      <c r="B194" s="18"/>
      <c r="C194" s="18" t="s">
        <v>536</v>
      </c>
      <c r="D194" s="19"/>
      <c r="E194" s="9"/>
      <c r="F194" s="21">
        <f>Source!AO499</f>
        <v>926.23</v>
      </c>
      <c r="G194" s="20" t="str">
        <f>Source!DG499</f>
        <v/>
      </c>
      <c r="H194" s="9">
        <f>Source!AV499</f>
        <v>1</v>
      </c>
      <c r="I194" s="9">
        <f>IF(Source!BA499&lt;&gt; 0, Source!BA499, 1)</f>
        <v>1</v>
      </c>
      <c r="J194" s="21">
        <f>Source!S499</f>
        <v>10188.530000000001</v>
      </c>
      <c r="K194" s="21"/>
    </row>
    <row r="195" spans="1:22" ht="14.25" x14ac:dyDescent="0.2">
      <c r="A195" s="18"/>
      <c r="B195" s="18"/>
      <c r="C195" s="18" t="s">
        <v>544</v>
      </c>
      <c r="D195" s="19"/>
      <c r="E195" s="9"/>
      <c r="F195" s="21">
        <f>Source!AL499</f>
        <v>12.39</v>
      </c>
      <c r="G195" s="20" t="str">
        <f>Source!DD499</f>
        <v/>
      </c>
      <c r="H195" s="9">
        <f>Source!AW499</f>
        <v>1</v>
      </c>
      <c r="I195" s="9">
        <f>IF(Source!BC499&lt;&gt; 0, Source!BC499, 1)</f>
        <v>1</v>
      </c>
      <c r="J195" s="21">
        <f>Source!P499</f>
        <v>136.29</v>
      </c>
      <c r="K195" s="21"/>
    </row>
    <row r="196" spans="1:22" ht="14.25" x14ac:dyDescent="0.2">
      <c r="A196" s="18"/>
      <c r="B196" s="18"/>
      <c r="C196" s="18" t="s">
        <v>537</v>
      </c>
      <c r="D196" s="19" t="s">
        <v>538</v>
      </c>
      <c r="E196" s="9">
        <f>Source!AT499</f>
        <v>70</v>
      </c>
      <c r="F196" s="21"/>
      <c r="G196" s="20"/>
      <c r="H196" s="9"/>
      <c r="I196" s="9"/>
      <c r="J196" s="21">
        <f>SUM(R192:R195)</f>
        <v>7131.97</v>
      </c>
      <c r="K196" s="21"/>
    </row>
    <row r="197" spans="1:22" ht="14.25" x14ac:dyDescent="0.2">
      <c r="A197" s="18"/>
      <c r="B197" s="18"/>
      <c r="C197" s="18" t="s">
        <v>539</v>
      </c>
      <c r="D197" s="19" t="s">
        <v>538</v>
      </c>
      <c r="E197" s="9">
        <f>Source!AU499</f>
        <v>10</v>
      </c>
      <c r="F197" s="21"/>
      <c r="G197" s="20"/>
      <c r="H197" s="9"/>
      <c r="I197" s="9"/>
      <c r="J197" s="21">
        <f>SUM(T192:T196)</f>
        <v>1018.85</v>
      </c>
      <c r="K197" s="21"/>
    </row>
    <row r="198" spans="1:22" ht="14.25" x14ac:dyDescent="0.2">
      <c r="A198" s="18"/>
      <c r="B198" s="18"/>
      <c r="C198" s="18" t="s">
        <v>540</v>
      </c>
      <c r="D198" s="19" t="s">
        <v>541</v>
      </c>
      <c r="E198" s="9">
        <f>Source!AQ499</f>
        <v>1.5</v>
      </c>
      <c r="F198" s="21"/>
      <c r="G198" s="20" t="str">
        <f>Source!DI499</f>
        <v/>
      </c>
      <c r="H198" s="9">
        <f>Source!AV499</f>
        <v>1</v>
      </c>
      <c r="I198" s="9"/>
      <c r="J198" s="21"/>
      <c r="K198" s="21">
        <f>Source!U499</f>
        <v>16.5</v>
      </c>
    </row>
    <row r="199" spans="1:22" ht="15" x14ac:dyDescent="0.25">
      <c r="A199" s="24"/>
      <c r="B199" s="24"/>
      <c r="C199" s="24"/>
      <c r="D199" s="24"/>
      <c r="E199" s="24"/>
      <c r="F199" s="24"/>
      <c r="G199" s="24"/>
      <c r="H199" s="24"/>
      <c r="I199" s="44">
        <f>J194+J195+J196+J197</f>
        <v>18475.64</v>
      </c>
      <c r="J199" s="44"/>
      <c r="K199" s="25">
        <f>IF(Source!I499&lt;&gt;0, ROUND(I199/Source!I499, 2), 0)</f>
        <v>1679.6</v>
      </c>
      <c r="P199" s="23">
        <f>I199</f>
        <v>18475.64</v>
      </c>
    </row>
    <row r="200" spans="1:22" ht="57" x14ac:dyDescent="0.2">
      <c r="A200" s="18">
        <v>16</v>
      </c>
      <c r="B200" s="18" t="str">
        <f>Source!F503</f>
        <v>1.21-2203-19-1/1</v>
      </c>
      <c r="C200" s="18" t="str">
        <f>Source!G503</f>
        <v>Техническое обслуживание шкафа устройства автоматического включения резерва (АВР) с основным и резервным вводом</v>
      </c>
      <c r="D200" s="19" t="str">
        <f>Source!H503</f>
        <v>шт.</v>
      </c>
      <c r="E200" s="9">
        <f>Source!I503</f>
        <v>1</v>
      </c>
      <c r="F200" s="21"/>
      <c r="G200" s="20"/>
      <c r="H200" s="9"/>
      <c r="I200" s="9"/>
      <c r="J200" s="21"/>
      <c r="K200" s="21"/>
      <c r="Q200">
        <f>ROUND((Source!BZ503/100)*ROUND((Source!AF503*Source!AV503)*Source!I503, 2), 2)</f>
        <v>187.36</v>
      </c>
      <c r="R200">
        <f>Source!X503</f>
        <v>187.36</v>
      </c>
      <c r="S200">
        <f>ROUND((Source!CA503/100)*ROUND((Source!AF503*Source!AV503)*Source!I503, 2), 2)</f>
        <v>26.77</v>
      </c>
      <c r="T200">
        <f>Source!Y503</f>
        <v>26.77</v>
      </c>
      <c r="U200">
        <f>ROUND((175/100)*ROUND((Source!AE503*Source!AV503)*Source!I503, 2), 2)</f>
        <v>43.38</v>
      </c>
      <c r="V200">
        <f>ROUND((108/100)*ROUND(Source!CS503*Source!I503, 2), 2)</f>
        <v>26.77</v>
      </c>
    </row>
    <row r="201" spans="1:22" ht="14.25" x14ac:dyDescent="0.2">
      <c r="A201" s="18"/>
      <c r="B201" s="18"/>
      <c r="C201" s="18" t="s">
        <v>536</v>
      </c>
      <c r="D201" s="19"/>
      <c r="E201" s="9"/>
      <c r="F201" s="21">
        <f>Source!AO503</f>
        <v>267.66000000000003</v>
      </c>
      <c r="G201" s="20" t="str">
        <f>Source!DG503</f>
        <v/>
      </c>
      <c r="H201" s="9">
        <f>Source!AV503</f>
        <v>1</v>
      </c>
      <c r="I201" s="9">
        <f>IF(Source!BA503&lt;&gt; 0, Source!BA503, 1)</f>
        <v>1</v>
      </c>
      <c r="J201" s="21">
        <f>Source!S503</f>
        <v>267.66000000000003</v>
      </c>
      <c r="K201" s="21"/>
    </row>
    <row r="202" spans="1:22" ht="14.25" x14ac:dyDescent="0.2">
      <c r="A202" s="18"/>
      <c r="B202" s="18"/>
      <c r="C202" s="18" t="s">
        <v>542</v>
      </c>
      <c r="D202" s="19"/>
      <c r="E202" s="9"/>
      <c r="F202" s="21">
        <f>Source!AM503</f>
        <v>39.090000000000003</v>
      </c>
      <c r="G202" s="20" t="str">
        <f>Source!DE503</f>
        <v/>
      </c>
      <c r="H202" s="9">
        <f>Source!AV503</f>
        <v>1</v>
      </c>
      <c r="I202" s="9">
        <f>IF(Source!BB503&lt;&gt; 0, Source!BB503, 1)</f>
        <v>1</v>
      </c>
      <c r="J202" s="21">
        <f>Source!Q503</f>
        <v>39.090000000000003</v>
      </c>
      <c r="K202" s="21"/>
    </row>
    <row r="203" spans="1:22" ht="14.25" x14ac:dyDescent="0.2">
      <c r="A203" s="18"/>
      <c r="B203" s="18"/>
      <c r="C203" s="18" t="s">
        <v>543</v>
      </c>
      <c r="D203" s="19"/>
      <c r="E203" s="9"/>
      <c r="F203" s="21">
        <f>Source!AN503</f>
        <v>24.79</v>
      </c>
      <c r="G203" s="20" t="str">
        <f>Source!DF503</f>
        <v/>
      </c>
      <c r="H203" s="9">
        <f>Source!AV503</f>
        <v>1</v>
      </c>
      <c r="I203" s="9">
        <f>IF(Source!BS503&lt;&gt; 0, Source!BS503, 1)</f>
        <v>1</v>
      </c>
      <c r="J203" s="26">
        <f>Source!R503</f>
        <v>24.79</v>
      </c>
      <c r="K203" s="21"/>
    </row>
    <row r="204" spans="1:22" ht="14.25" x14ac:dyDescent="0.2">
      <c r="A204" s="18"/>
      <c r="B204" s="18"/>
      <c r="C204" s="18" t="s">
        <v>544</v>
      </c>
      <c r="D204" s="19"/>
      <c r="E204" s="9"/>
      <c r="F204" s="21">
        <f>Source!AL503</f>
        <v>0.09</v>
      </c>
      <c r="G204" s="20" t="str">
        <f>Source!DD503</f>
        <v/>
      </c>
      <c r="H204" s="9">
        <f>Source!AW503</f>
        <v>1</v>
      </c>
      <c r="I204" s="9">
        <f>IF(Source!BC503&lt;&gt; 0, Source!BC503, 1)</f>
        <v>1</v>
      </c>
      <c r="J204" s="21">
        <f>Source!P503</f>
        <v>0.09</v>
      </c>
      <c r="K204" s="21"/>
    </row>
    <row r="205" spans="1:22" ht="14.25" x14ac:dyDescent="0.2">
      <c r="A205" s="18"/>
      <c r="B205" s="18"/>
      <c r="C205" s="18" t="s">
        <v>537</v>
      </c>
      <c r="D205" s="19" t="s">
        <v>538</v>
      </c>
      <c r="E205" s="9">
        <f>Source!AT503</f>
        <v>70</v>
      </c>
      <c r="F205" s="21"/>
      <c r="G205" s="20"/>
      <c r="H205" s="9"/>
      <c r="I205" s="9"/>
      <c r="J205" s="21">
        <f>SUM(R200:R204)</f>
        <v>187.36</v>
      </c>
      <c r="K205" s="21"/>
    </row>
    <row r="206" spans="1:22" ht="14.25" x14ac:dyDescent="0.2">
      <c r="A206" s="18"/>
      <c r="B206" s="18"/>
      <c r="C206" s="18" t="s">
        <v>539</v>
      </c>
      <c r="D206" s="19" t="s">
        <v>538</v>
      </c>
      <c r="E206" s="9">
        <f>Source!AU503</f>
        <v>10</v>
      </c>
      <c r="F206" s="21"/>
      <c r="G206" s="20"/>
      <c r="H206" s="9"/>
      <c r="I206" s="9"/>
      <c r="J206" s="21">
        <f>SUM(T200:T205)</f>
        <v>26.77</v>
      </c>
      <c r="K206" s="21"/>
    </row>
    <row r="207" spans="1:22" ht="14.25" x14ac:dyDescent="0.2">
      <c r="A207" s="18"/>
      <c r="B207" s="18"/>
      <c r="C207" s="18" t="s">
        <v>545</v>
      </c>
      <c r="D207" s="19" t="s">
        <v>538</v>
      </c>
      <c r="E207" s="9">
        <f>108</f>
        <v>108</v>
      </c>
      <c r="F207" s="21"/>
      <c r="G207" s="20"/>
      <c r="H207" s="9"/>
      <c r="I207" s="9"/>
      <c r="J207" s="21">
        <f>SUM(V200:V206)</f>
        <v>26.77</v>
      </c>
      <c r="K207" s="21"/>
    </row>
    <row r="208" spans="1:22" ht="14.25" x14ac:dyDescent="0.2">
      <c r="A208" s="18"/>
      <c r="B208" s="18"/>
      <c r="C208" s="18" t="s">
        <v>540</v>
      </c>
      <c r="D208" s="19" t="s">
        <v>541</v>
      </c>
      <c r="E208" s="9">
        <f>Source!AQ503</f>
        <v>0.5</v>
      </c>
      <c r="F208" s="21"/>
      <c r="G208" s="20" t="str">
        <f>Source!DI503</f>
        <v/>
      </c>
      <c r="H208" s="9">
        <f>Source!AV503</f>
        <v>1</v>
      </c>
      <c r="I208" s="9"/>
      <c r="J208" s="21"/>
      <c r="K208" s="21">
        <f>Source!U503</f>
        <v>0.5</v>
      </c>
    </row>
    <row r="209" spans="1:22" ht="15" x14ac:dyDescent="0.25">
      <c r="A209" s="24"/>
      <c r="B209" s="24"/>
      <c r="C209" s="24"/>
      <c r="D209" s="24"/>
      <c r="E209" s="24"/>
      <c r="F209" s="24"/>
      <c r="G209" s="24"/>
      <c r="H209" s="24"/>
      <c r="I209" s="44">
        <f>J201+J202+J204+J205+J206+J207</f>
        <v>547.74</v>
      </c>
      <c r="J209" s="44"/>
      <c r="K209" s="25">
        <f>IF(Source!I503&lt;&gt;0, ROUND(I209/Source!I503, 2), 0)</f>
        <v>547.74</v>
      </c>
      <c r="P209" s="23">
        <f>I209</f>
        <v>547.74</v>
      </c>
    </row>
    <row r="210" spans="1:22" ht="85.5" x14ac:dyDescent="0.2">
      <c r="A210" s="18">
        <v>17</v>
      </c>
      <c r="B210" s="18" t="str">
        <f>Source!F506</f>
        <v>1.21-2203-37-1/1</v>
      </c>
      <c r="C210" s="18" t="str">
        <f>Source!G506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210" s="19" t="str">
        <f>Source!H506</f>
        <v>шт.</v>
      </c>
      <c r="E210" s="9">
        <f>Source!I506</f>
        <v>1</v>
      </c>
      <c r="F210" s="21"/>
      <c r="G210" s="20"/>
      <c r="H210" s="9"/>
      <c r="I210" s="9"/>
      <c r="J210" s="21"/>
      <c r="K210" s="21"/>
      <c r="Q210">
        <f>ROUND((Source!BZ506/100)*ROUND((Source!AF506*Source!AV506)*Source!I506, 2), 2)</f>
        <v>236.12</v>
      </c>
      <c r="R210">
        <f>Source!X506</f>
        <v>236.12</v>
      </c>
      <c r="S210">
        <f>ROUND((Source!CA506/100)*ROUND((Source!AF506*Source!AV506)*Source!I506, 2), 2)</f>
        <v>33.729999999999997</v>
      </c>
      <c r="T210">
        <f>Source!Y506</f>
        <v>33.729999999999997</v>
      </c>
      <c r="U210">
        <f>ROUND((175/100)*ROUND((Source!AE506*Source!AV506)*Source!I506, 2), 2)</f>
        <v>0</v>
      </c>
      <c r="V210">
        <f>ROUND((108/100)*ROUND(Source!CS506*Source!I506, 2), 2)</f>
        <v>0</v>
      </c>
    </row>
    <row r="211" spans="1:22" ht="14.25" x14ac:dyDescent="0.2">
      <c r="A211" s="18"/>
      <c r="B211" s="18"/>
      <c r="C211" s="18" t="s">
        <v>536</v>
      </c>
      <c r="D211" s="19"/>
      <c r="E211" s="9"/>
      <c r="F211" s="21">
        <f>Source!AO506</f>
        <v>337.31</v>
      </c>
      <c r="G211" s="20" t="str">
        <f>Source!DG506</f>
        <v/>
      </c>
      <c r="H211" s="9">
        <f>Source!AV506</f>
        <v>1</v>
      </c>
      <c r="I211" s="9">
        <f>IF(Source!BA506&lt;&gt; 0, Source!BA506, 1)</f>
        <v>1</v>
      </c>
      <c r="J211" s="21">
        <f>Source!S506</f>
        <v>337.31</v>
      </c>
      <c r="K211" s="21"/>
    </row>
    <row r="212" spans="1:22" ht="14.25" x14ac:dyDescent="0.2">
      <c r="A212" s="18"/>
      <c r="B212" s="18"/>
      <c r="C212" s="18" t="s">
        <v>544</v>
      </c>
      <c r="D212" s="19"/>
      <c r="E212" s="9"/>
      <c r="F212" s="21">
        <f>Source!AL506</f>
        <v>1.57</v>
      </c>
      <c r="G212" s="20" t="str">
        <f>Source!DD506</f>
        <v/>
      </c>
      <c r="H212" s="9">
        <f>Source!AW506</f>
        <v>1</v>
      </c>
      <c r="I212" s="9">
        <f>IF(Source!BC506&lt;&gt; 0, Source!BC506, 1)</f>
        <v>1</v>
      </c>
      <c r="J212" s="21">
        <f>Source!P506</f>
        <v>1.57</v>
      </c>
      <c r="K212" s="21"/>
    </row>
    <row r="213" spans="1:22" ht="14.25" x14ac:dyDescent="0.2">
      <c r="A213" s="18"/>
      <c r="B213" s="18"/>
      <c r="C213" s="18" t="s">
        <v>537</v>
      </c>
      <c r="D213" s="19" t="s">
        <v>538</v>
      </c>
      <c r="E213" s="9">
        <f>Source!AT506</f>
        <v>70</v>
      </c>
      <c r="F213" s="21"/>
      <c r="G213" s="20"/>
      <c r="H213" s="9"/>
      <c r="I213" s="9"/>
      <c r="J213" s="21">
        <f>SUM(R210:R212)</f>
        <v>236.12</v>
      </c>
      <c r="K213" s="21"/>
    </row>
    <row r="214" spans="1:22" ht="14.25" x14ac:dyDescent="0.2">
      <c r="A214" s="18"/>
      <c r="B214" s="18"/>
      <c r="C214" s="18" t="s">
        <v>539</v>
      </c>
      <c r="D214" s="19" t="s">
        <v>538</v>
      </c>
      <c r="E214" s="9">
        <f>Source!AU506</f>
        <v>10</v>
      </c>
      <c r="F214" s="21"/>
      <c r="G214" s="20"/>
      <c r="H214" s="9"/>
      <c r="I214" s="9"/>
      <c r="J214" s="21">
        <f>SUM(T210:T213)</f>
        <v>33.729999999999997</v>
      </c>
      <c r="K214" s="21"/>
    </row>
    <row r="215" spans="1:22" ht="14.25" x14ac:dyDescent="0.2">
      <c r="A215" s="18"/>
      <c r="B215" s="18"/>
      <c r="C215" s="18" t="s">
        <v>540</v>
      </c>
      <c r="D215" s="19" t="s">
        <v>541</v>
      </c>
      <c r="E215" s="9">
        <f>Source!AQ506</f>
        <v>0.6</v>
      </c>
      <c r="F215" s="21"/>
      <c r="G215" s="20" t="str">
        <f>Source!DI506</f>
        <v/>
      </c>
      <c r="H215" s="9">
        <f>Source!AV506</f>
        <v>1</v>
      </c>
      <c r="I215" s="9"/>
      <c r="J215" s="21"/>
      <c r="K215" s="21">
        <f>Source!U506</f>
        <v>0.6</v>
      </c>
    </row>
    <row r="216" spans="1:22" ht="15" x14ac:dyDescent="0.25">
      <c r="A216" s="24"/>
      <c r="B216" s="24"/>
      <c r="C216" s="24"/>
      <c r="D216" s="24"/>
      <c r="E216" s="24"/>
      <c r="F216" s="24"/>
      <c r="G216" s="24"/>
      <c r="H216" s="24"/>
      <c r="I216" s="44">
        <f>J211+J212+J213+J214</f>
        <v>608.73</v>
      </c>
      <c r="J216" s="44"/>
      <c r="K216" s="25">
        <f>IF(Source!I506&lt;&gt;0, ROUND(I216/Source!I506, 2), 0)</f>
        <v>608.73</v>
      </c>
      <c r="P216" s="23">
        <f>I216</f>
        <v>608.73</v>
      </c>
    </row>
    <row r="217" spans="1:22" ht="57" x14ac:dyDescent="0.2">
      <c r="A217" s="18">
        <v>18</v>
      </c>
      <c r="B217" s="18" t="str">
        <f>Source!F507</f>
        <v>1.21-2303-3-1/1</v>
      </c>
      <c r="C217" s="18" t="str">
        <f>Source!G507</f>
        <v>Техническое обслуживание выключателей автоматических трехполюсных установочных, номинальный ток до 200 А,</v>
      </c>
      <c r="D217" s="19" t="str">
        <f>Source!H507</f>
        <v>шт.</v>
      </c>
      <c r="E217" s="9">
        <f>Source!I507</f>
        <v>4</v>
      </c>
      <c r="F217" s="21"/>
      <c r="G217" s="20"/>
      <c r="H217" s="9"/>
      <c r="I217" s="9"/>
      <c r="J217" s="21"/>
      <c r="K217" s="21"/>
      <c r="Q217">
        <f>ROUND((Source!BZ507/100)*ROUND((Source!AF507*Source!AV507)*Source!I507, 2), 2)</f>
        <v>2593.44</v>
      </c>
      <c r="R217">
        <f>Source!X507</f>
        <v>2593.44</v>
      </c>
      <c r="S217">
        <f>ROUND((Source!CA507/100)*ROUND((Source!AF507*Source!AV507)*Source!I507, 2), 2)</f>
        <v>370.49</v>
      </c>
      <c r="T217">
        <f>Source!Y507</f>
        <v>370.49</v>
      </c>
      <c r="U217">
        <f>ROUND((175/100)*ROUND((Source!AE507*Source!AV507)*Source!I507, 2), 2)</f>
        <v>0</v>
      </c>
      <c r="V217">
        <f>ROUND((108/100)*ROUND(Source!CS507*Source!I507, 2), 2)</f>
        <v>0</v>
      </c>
    </row>
    <row r="218" spans="1:22" ht="14.25" x14ac:dyDescent="0.2">
      <c r="A218" s="18"/>
      <c r="B218" s="18"/>
      <c r="C218" s="18" t="s">
        <v>536</v>
      </c>
      <c r="D218" s="19"/>
      <c r="E218" s="9"/>
      <c r="F218" s="21">
        <f>Source!AO507</f>
        <v>926.23</v>
      </c>
      <c r="G218" s="20" t="str">
        <f>Source!DG507</f>
        <v/>
      </c>
      <c r="H218" s="9">
        <f>Source!AV507</f>
        <v>1</v>
      </c>
      <c r="I218" s="9">
        <f>IF(Source!BA507&lt;&gt; 0, Source!BA507, 1)</f>
        <v>1</v>
      </c>
      <c r="J218" s="21">
        <f>Source!S507</f>
        <v>3704.92</v>
      </c>
      <c r="K218" s="21"/>
    </row>
    <row r="219" spans="1:22" ht="14.25" x14ac:dyDescent="0.2">
      <c r="A219" s="18"/>
      <c r="B219" s="18"/>
      <c r="C219" s="18" t="s">
        <v>544</v>
      </c>
      <c r="D219" s="19"/>
      <c r="E219" s="9"/>
      <c r="F219" s="21">
        <f>Source!AL507</f>
        <v>12.39</v>
      </c>
      <c r="G219" s="20" t="str">
        <f>Source!DD507</f>
        <v/>
      </c>
      <c r="H219" s="9">
        <f>Source!AW507</f>
        <v>1</v>
      </c>
      <c r="I219" s="9">
        <f>IF(Source!BC507&lt;&gt; 0, Source!BC507, 1)</f>
        <v>1</v>
      </c>
      <c r="J219" s="21">
        <f>Source!P507</f>
        <v>49.56</v>
      </c>
      <c r="K219" s="21"/>
    </row>
    <row r="220" spans="1:22" ht="14.25" x14ac:dyDescent="0.2">
      <c r="A220" s="18"/>
      <c r="B220" s="18"/>
      <c r="C220" s="18" t="s">
        <v>537</v>
      </c>
      <c r="D220" s="19" t="s">
        <v>538</v>
      </c>
      <c r="E220" s="9">
        <f>Source!AT507</f>
        <v>70</v>
      </c>
      <c r="F220" s="21"/>
      <c r="G220" s="20"/>
      <c r="H220" s="9"/>
      <c r="I220" s="9"/>
      <c r="J220" s="21">
        <f>SUM(R217:R219)</f>
        <v>2593.44</v>
      </c>
      <c r="K220" s="21"/>
    </row>
    <row r="221" spans="1:22" ht="14.25" x14ac:dyDescent="0.2">
      <c r="A221" s="18"/>
      <c r="B221" s="18"/>
      <c r="C221" s="18" t="s">
        <v>539</v>
      </c>
      <c r="D221" s="19" t="s">
        <v>538</v>
      </c>
      <c r="E221" s="9">
        <f>Source!AU507</f>
        <v>10</v>
      </c>
      <c r="F221" s="21"/>
      <c r="G221" s="20"/>
      <c r="H221" s="9"/>
      <c r="I221" s="9"/>
      <c r="J221" s="21">
        <f>SUM(T217:T220)</f>
        <v>370.49</v>
      </c>
      <c r="K221" s="21"/>
    </row>
    <row r="222" spans="1:22" ht="14.25" x14ac:dyDescent="0.2">
      <c r="A222" s="18"/>
      <c r="B222" s="18"/>
      <c r="C222" s="18" t="s">
        <v>540</v>
      </c>
      <c r="D222" s="19" t="s">
        <v>541</v>
      </c>
      <c r="E222" s="9">
        <f>Source!AQ507</f>
        <v>1.5</v>
      </c>
      <c r="F222" s="21"/>
      <c r="G222" s="20" t="str">
        <f>Source!DI507</f>
        <v/>
      </c>
      <c r="H222" s="9">
        <f>Source!AV507</f>
        <v>1</v>
      </c>
      <c r="I222" s="9"/>
      <c r="J222" s="21"/>
      <c r="K222" s="21">
        <f>Source!U507</f>
        <v>6</v>
      </c>
    </row>
    <row r="223" spans="1:22" ht="15" x14ac:dyDescent="0.25">
      <c r="A223" s="24"/>
      <c r="B223" s="24"/>
      <c r="C223" s="24"/>
      <c r="D223" s="24"/>
      <c r="E223" s="24"/>
      <c r="F223" s="24"/>
      <c r="G223" s="24"/>
      <c r="H223" s="24"/>
      <c r="I223" s="44">
        <f>J218+J219+J220+J221</f>
        <v>6718.41</v>
      </c>
      <c r="J223" s="44"/>
      <c r="K223" s="25">
        <f>IF(Source!I507&lt;&gt;0, ROUND(I223/Source!I507, 2), 0)</f>
        <v>1679.6</v>
      </c>
      <c r="P223" s="23">
        <f>I223</f>
        <v>6718.41</v>
      </c>
    </row>
    <row r="224" spans="1:22" ht="42.75" x14ac:dyDescent="0.2">
      <c r="A224" s="18">
        <v>19</v>
      </c>
      <c r="B224" s="18" t="str">
        <f>Source!F510</f>
        <v>1.21-2303-28-1/1</v>
      </c>
      <c r="C224" s="18" t="str">
        <f>Source!G510</f>
        <v>Техническое обслуживание автоматического выключателя до 160 А</v>
      </c>
      <c r="D224" s="19" t="str">
        <f>Source!H510</f>
        <v>шт.</v>
      </c>
      <c r="E224" s="9">
        <f>Source!I510</f>
        <v>15</v>
      </c>
      <c r="F224" s="21"/>
      <c r="G224" s="20"/>
      <c r="H224" s="9"/>
      <c r="I224" s="9"/>
      <c r="J224" s="21"/>
      <c r="K224" s="21"/>
      <c r="Q224">
        <f>ROUND((Source!BZ510/100)*ROUND((Source!AF510*Source!AV510)*Source!I510, 2), 2)</f>
        <v>4470.8999999999996</v>
      </c>
      <c r="R224">
        <f>Source!X510</f>
        <v>4470.8999999999996</v>
      </c>
      <c r="S224">
        <f>ROUND((Source!CA510/100)*ROUND((Source!AF510*Source!AV510)*Source!I510, 2), 2)</f>
        <v>638.70000000000005</v>
      </c>
      <c r="T224">
        <f>Source!Y510</f>
        <v>638.70000000000005</v>
      </c>
      <c r="U224">
        <f>ROUND((175/100)*ROUND((Source!AE510*Source!AV510)*Source!I510, 2), 2)</f>
        <v>0</v>
      </c>
      <c r="V224">
        <f>ROUND((108/100)*ROUND(Source!CS510*Source!I510, 2), 2)</f>
        <v>0</v>
      </c>
    </row>
    <row r="225" spans="1:22" x14ac:dyDescent="0.2">
      <c r="C225" s="22" t="str">
        <f>"Объем: "&amp;Source!I510&amp;"=1+"&amp;"14"</f>
        <v>Объем: 15=1+14</v>
      </c>
    </row>
    <row r="226" spans="1:22" ht="14.25" x14ac:dyDescent="0.2">
      <c r="A226" s="18"/>
      <c r="B226" s="18"/>
      <c r="C226" s="18" t="s">
        <v>536</v>
      </c>
      <c r="D226" s="19"/>
      <c r="E226" s="9"/>
      <c r="F226" s="21">
        <f>Source!AO510</f>
        <v>212.9</v>
      </c>
      <c r="G226" s="20" t="str">
        <f>Source!DG510</f>
        <v>)*2</v>
      </c>
      <c r="H226" s="9">
        <f>Source!AV510</f>
        <v>1</v>
      </c>
      <c r="I226" s="9">
        <f>IF(Source!BA510&lt;&gt; 0, Source!BA510, 1)</f>
        <v>1</v>
      </c>
      <c r="J226" s="21">
        <f>Source!S510</f>
        <v>6387</v>
      </c>
      <c r="K226" s="21"/>
    </row>
    <row r="227" spans="1:22" ht="14.25" x14ac:dyDescent="0.2">
      <c r="A227" s="18"/>
      <c r="B227" s="18"/>
      <c r="C227" s="18" t="s">
        <v>544</v>
      </c>
      <c r="D227" s="19"/>
      <c r="E227" s="9"/>
      <c r="F227" s="21">
        <f>Source!AL510</f>
        <v>4.53</v>
      </c>
      <c r="G227" s="20" t="str">
        <f>Source!DD510</f>
        <v>)*2</v>
      </c>
      <c r="H227" s="9">
        <f>Source!AW510</f>
        <v>1</v>
      </c>
      <c r="I227" s="9">
        <f>IF(Source!BC510&lt;&gt; 0, Source!BC510, 1)</f>
        <v>1</v>
      </c>
      <c r="J227" s="21">
        <f>Source!P510</f>
        <v>135.9</v>
      </c>
      <c r="K227" s="21"/>
    </row>
    <row r="228" spans="1:22" ht="14.25" x14ac:dyDescent="0.2">
      <c r="A228" s="18"/>
      <c r="B228" s="18"/>
      <c r="C228" s="18" t="s">
        <v>537</v>
      </c>
      <c r="D228" s="19" t="s">
        <v>538</v>
      </c>
      <c r="E228" s="9">
        <f>Source!AT510</f>
        <v>70</v>
      </c>
      <c r="F228" s="21"/>
      <c r="G228" s="20"/>
      <c r="H228" s="9"/>
      <c r="I228" s="9"/>
      <c r="J228" s="21">
        <f>SUM(R224:R227)</f>
        <v>4470.8999999999996</v>
      </c>
      <c r="K228" s="21"/>
    </row>
    <row r="229" spans="1:22" ht="14.25" x14ac:dyDescent="0.2">
      <c r="A229" s="18"/>
      <c r="B229" s="18"/>
      <c r="C229" s="18" t="s">
        <v>539</v>
      </c>
      <c r="D229" s="19" t="s">
        <v>538</v>
      </c>
      <c r="E229" s="9">
        <f>Source!AU510</f>
        <v>10</v>
      </c>
      <c r="F229" s="21"/>
      <c r="G229" s="20"/>
      <c r="H229" s="9"/>
      <c r="I229" s="9"/>
      <c r="J229" s="21">
        <f>SUM(T224:T228)</f>
        <v>638.70000000000005</v>
      </c>
      <c r="K229" s="21"/>
    </row>
    <row r="230" spans="1:22" ht="14.25" x14ac:dyDescent="0.2">
      <c r="A230" s="18"/>
      <c r="B230" s="18"/>
      <c r="C230" s="18" t="s">
        <v>540</v>
      </c>
      <c r="D230" s="19" t="s">
        <v>541</v>
      </c>
      <c r="E230" s="9">
        <f>Source!AQ510</f>
        <v>0.3</v>
      </c>
      <c r="F230" s="21"/>
      <c r="G230" s="20" t="str">
        <f>Source!DI510</f>
        <v>)*2</v>
      </c>
      <c r="H230" s="9">
        <f>Source!AV510</f>
        <v>1</v>
      </c>
      <c r="I230" s="9"/>
      <c r="J230" s="21"/>
      <c r="K230" s="21">
        <f>Source!U510</f>
        <v>9</v>
      </c>
    </row>
    <row r="231" spans="1:22" ht="15" x14ac:dyDescent="0.25">
      <c r="A231" s="24"/>
      <c r="B231" s="24"/>
      <c r="C231" s="24"/>
      <c r="D231" s="24"/>
      <c r="E231" s="24"/>
      <c r="F231" s="24"/>
      <c r="G231" s="24"/>
      <c r="H231" s="24"/>
      <c r="I231" s="44">
        <f>J226+J227+J228+J229</f>
        <v>11632.5</v>
      </c>
      <c r="J231" s="44"/>
      <c r="K231" s="25">
        <f>IF(Source!I510&lt;&gt;0, ROUND(I231/Source!I510, 2), 0)</f>
        <v>775.5</v>
      </c>
      <c r="P231" s="23">
        <f>I231</f>
        <v>11632.5</v>
      </c>
    </row>
    <row r="232" spans="1:22" ht="42.75" x14ac:dyDescent="0.2">
      <c r="A232" s="18">
        <v>20</v>
      </c>
      <c r="B232" s="18" t="str">
        <f>Source!F512</f>
        <v>1.21-2303-28-1/1</v>
      </c>
      <c r="C232" s="18" t="str">
        <f>Source!G512</f>
        <v>Техническое обслуживание автоматического выключателя до 160 А</v>
      </c>
      <c r="D232" s="19" t="str">
        <f>Source!H512</f>
        <v>шт.</v>
      </c>
      <c r="E232" s="9">
        <f>Source!I512</f>
        <v>5</v>
      </c>
      <c r="F232" s="21"/>
      <c r="G232" s="20"/>
      <c r="H232" s="9"/>
      <c r="I232" s="9"/>
      <c r="J232" s="21"/>
      <c r="K232" s="21"/>
      <c r="Q232">
        <f>ROUND((Source!BZ512/100)*ROUND((Source!AF512*Source!AV512)*Source!I512, 2), 2)</f>
        <v>1490.3</v>
      </c>
      <c r="R232">
        <f>Source!X512</f>
        <v>1490.3</v>
      </c>
      <c r="S232">
        <f>ROUND((Source!CA512/100)*ROUND((Source!AF512*Source!AV512)*Source!I512, 2), 2)</f>
        <v>212.9</v>
      </c>
      <c r="T232">
        <f>Source!Y512</f>
        <v>212.9</v>
      </c>
      <c r="U232">
        <f>ROUND((175/100)*ROUND((Source!AE512*Source!AV512)*Source!I512, 2), 2)</f>
        <v>0</v>
      </c>
      <c r="V232">
        <f>ROUND((108/100)*ROUND(Source!CS512*Source!I512, 2), 2)</f>
        <v>0</v>
      </c>
    </row>
    <row r="233" spans="1:22" x14ac:dyDescent="0.2">
      <c r="C233" s="22" t="str">
        <f>"Объем: "&amp;Source!I512&amp;"=1+"&amp;"4"</f>
        <v>Объем: 5=1+4</v>
      </c>
    </row>
    <row r="234" spans="1:22" ht="14.25" x14ac:dyDescent="0.2">
      <c r="A234" s="18"/>
      <c r="B234" s="18"/>
      <c r="C234" s="18" t="s">
        <v>536</v>
      </c>
      <c r="D234" s="19"/>
      <c r="E234" s="9"/>
      <c r="F234" s="21">
        <f>Source!AO512</f>
        <v>212.9</v>
      </c>
      <c r="G234" s="20" t="str">
        <f>Source!DG512</f>
        <v>)*2</v>
      </c>
      <c r="H234" s="9">
        <f>Source!AV512</f>
        <v>1</v>
      </c>
      <c r="I234" s="9">
        <f>IF(Source!BA512&lt;&gt; 0, Source!BA512, 1)</f>
        <v>1</v>
      </c>
      <c r="J234" s="21">
        <f>Source!S512</f>
        <v>2129</v>
      </c>
      <c r="K234" s="21"/>
    </row>
    <row r="235" spans="1:22" ht="14.25" x14ac:dyDescent="0.2">
      <c r="A235" s="18"/>
      <c r="B235" s="18"/>
      <c r="C235" s="18" t="s">
        <v>544</v>
      </c>
      <c r="D235" s="19"/>
      <c r="E235" s="9"/>
      <c r="F235" s="21">
        <f>Source!AL512</f>
        <v>4.53</v>
      </c>
      <c r="G235" s="20" t="str">
        <f>Source!DD512</f>
        <v>)*2</v>
      </c>
      <c r="H235" s="9">
        <f>Source!AW512</f>
        <v>1</v>
      </c>
      <c r="I235" s="9">
        <f>IF(Source!BC512&lt;&gt; 0, Source!BC512, 1)</f>
        <v>1</v>
      </c>
      <c r="J235" s="21">
        <f>Source!P512</f>
        <v>45.3</v>
      </c>
      <c r="K235" s="21"/>
    </row>
    <row r="236" spans="1:22" ht="14.25" x14ac:dyDescent="0.2">
      <c r="A236" s="18"/>
      <c r="B236" s="18"/>
      <c r="C236" s="18" t="s">
        <v>537</v>
      </c>
      <c r="D236" s="19" t="s">
        <v>538</v>
      </c>
      <c r="E236" s="9">
        <f>Source!AT512</f>
        <v>70</v>
      </c>
      <c r="F236" s="21"/>
      <c r="G236" s="20"/>
      <c r="H236" s="9"/>
      <c r="I236" s="9"/>
      <c r="J236" s="21">
        <f>SUM(R232:R235)</f>
        <v>1490.3</v>
      </c>
      <c r="K236" s="21"/>
    </row>
    <row r="237" spans="1:22" ht="14.25" x14ac:dyDescent="0.2">
      <c r="A237" s="18"/>
      <c r="B237" s="18"/>
      <c r="C237" s="18" t="s">
        <v>539</v>
      </c>
      <c r="D237" s="19" t="s">
        <v>538</v>
      </c>
      <c r="E237" s="9">
        <f>Source!AU512</f>
        <v>10</v>
      </c>
      <c r="F237" s="21"/>
      <c r="G237" s="20"/>
      <c r="H237" s="9"/>
      <c r="I237" s="9"/>
      <c r="J237" s="21">
        <f>SUM(T232:T236)</f>
        <v>212.9</v>
      </c>
      <c r="K237" s="21"/>
    </row>
    <row r="238" spans="1:22" ht="14.25" x14ac:dyDescent="0.2">
      <c r="A238" s="18"/>
      <c r="B238" s="18"/>
      <c r="C238" s="18" t="s">
        <v>540</v>
      </c>
      <c r="D238" s="19" t="s">
        <v>541</v>
      </c>
      <c r="E238" s="9">
        <f>Source!AQ512</f>
        <v>0.3</v>
      </c>
      <c r="F238" s="21"/>
      <c r="G238" s="20" t="str">
        <f>Source!DI512</f>
        <v>)*2</v>
      </c>
      <c r="H238" s="9">
        <f>Source!AV512</f>
        <v>1</v>
      </c>
      <c r="I238" s="9"/>
      <c r="J238" s="21"/>
      <c r="K238" s="21">
        <f>Source!U512</f>
        <v>3</v>
      </c>
    </row>
    <row r="239" spans="1:22" ht="15" x14ac:dyDescent="0.25">
      <c r="A239" s="24"/>
      <c r="B239" s="24"/>
      <c r="C239" s="24"/>
      <c r="D239" s="24"/>
      <c r="E239" s="24"/>
      <c r="F239" s="24"/>
      <c r="G239" s="24"/>
      <c r="H239" s="24"/>
      <c r="I239" s="44">
        <f>J234+J235+J236+J237</f>
        <v>3877.5000000000005</v>
      </c>
      <c r="J239" s="44"/>
      <c r="K239" s="25">
        <f>IF(Source!I512&lt;&gt;0, ROUND(I239/Source!I512, 2), 0)</f>
        <v>775.5</v>
      </c>
      <c r="P239" s="23">
        <f>I239</f>
        <v>3877.5000000000005</v>
      </c>
    </row>
    <row r="240" spans="1:22" ht="42.75" x14ac:dyDescent="0.2">
      <c r="A240" s="18">
        <v>21</v>
      </c>
      <c r="B240" s="18" t="str">
        <f>Source!F514</f>
        <v>1.21-2303-49-1/1</v>
      </c>
      <c r="C240" s="18" t="str">
        <f>Source!G514</f>
        <v>Техническое обслуживание расцепителя напряжения независимого - полугодовое</v>
      </c>
      <c r="D240" s="19" t="str">
        <f>Source!H514</f>
        <v>шт.</v>
      </c>
      <c r="E240" s="9">
        <f>Source!I514</f>
        <v>1</v>
      </c>
      <c r="F240" s="21"/>
      <c r="G240" s="20"/>
      <c r="H240" s="9"/>
      <c r="I240" s="9"/>
      <c r="J240" s="21"/>
      <c r="K240" s="21"/>
      <c r="Q240">
        <f>ROUND((Source!BZ514/100)*ROUND((Source!AF514*Source!AV514)*Source!I514, 2), 2)</f>
        <v>62.97</v>
      </c>
      <c r="R240">
        <f>Source!X514</f>
        <v>62.97</v>
      </c>
      <c r="S240">
        <f>ROUND((Source!CA514/100)*ROUND((Source!AF514*Source!AV514)*Source!I514, 2), 2)</f>
        <v>9</v>
      </c>
      <c r="T240">
        <f>Source!Y514</f>
        <v>9</v>
      </c>
      <c r="U240">
        <f>ROUND((175/100)*ROUND((Source!AE514*Source!AV514)*Source!I514, 2), 2)</f>
        <v>0</v>
      </c>
      <c r="V240">
        <f>ROUND((108/100)*ROUND(Source!CS514*Source!I514, 2), 2)</f>
        <v>0</v>
      </c>
    </row>
    <row r="241" spans="1:22" ht="14.25" x14ac:dyDescent="0.2">
      <c r="A241" s="18"/>
      <c r="B241" s="18"/>
      <c r="C241" s="18" t="s">
        <v>536</v>
      </c>
      <c r="D241" s="19"/>
      <c r="E241" s="9"/>
      <c r="F241" s="21">
        <f>Source!AO514</f>
        <v>89.95</v>
      </c>
      <c r="G241" s="20" t="str">
        <f>Source!DG514</f>
        <v/>
      </c>
      <c r="H241" s="9">
        <f>Source!AV514</f>
        <v>1</v>
      </c>
      <c r="I241" s="9">
        <f>IF(Source!BA514&lt;&gt; 0, Source!BA514, 1)</f>
        <v>1</v>
      </c>
      <c r="J241" s="21">
        <f>Source!S514</f>
        <v>89.95</v>
      </c>
      <c r="K241" s="21"/>
    </row>
    <row r="242" spans="1:22" ht="14.25" x14ac:dyDescent="0.2">
      <c r="A242" s="18"/>
      <c r="B242" s="18"/>
      <c r="C242" s="18" t="s">
        <v>537</v>
      </c>
      <c r="D242" s="19" t="s">
        <v>538</v>
      </c>
      <c r="E242" s="9">
        <f>Source!AT514</f>
        <v>70</v>
      </c>
      <c r="F242" s="21"/>
      <c r="G242" s="20"/>
      <c r="H242" s="9"/>
      <c r="I242" s="9"/>
      <c r="J242" s="21">
        <f>SUM(R240:R241)</f>
        <v>62.97</v>
      </c>
      <c r="K242" s="21"/>
    </row>
    <row r="243" spans="1:22" ht="14.25" x14ac:dyDescent="0.2">
      <c r="A243" s="18"/>
      <c r="B243" s="18"/>
      <c r="C243" s="18" t="s">
        <v>539</v>
      </c>
      <c r="D243" s="19" t="s">
        <v>538</v>
      </c>
      <c r="E243" s="9">
        <f>Source!AU514</f>
        <v>10</v>
      </c>
      <c r="F243" s="21"/>
      <c r="G243" s="20"/>
      <c r="H243" s="9"/>
      <c r="I243" s="9"/>
      <c r="J243" s="21">
        <f>SUM(T240:T242)</f>
        <v>9</v>
      </c>
      <c r="K243" s="21"/>
    </row>
    <row r="244" spans="1:22" ht="14.25" x14ac:dyDescent="0.2">
      <c r="A244" s="18"/>
      <c r="B244" s="18"/>
      <c r="C244" s="18" t="s">
        <v>540</v>
      </c>
      <c r="D244" s="19" t="s">
        <v>541</v>
      </c>
      <c r="E244" s="9">
        <f>Source!AQ514</f>
        <v>0.16</v>
      </c>
      <c r="F244" s="21"/>
      <c r="G244" s="20" t="str">
        <f>Source!DI514</f>
        <v/>
      </c>
      <c r="H244" s="9">
        <f>Source!AV514</f>
        <v>1</v>
      </c>
      <c r="I244" s="9"/>
      <c r="J244" s="21"/>
      <c r="K244" s="21">
        <f>Source!U514</f>
        <v>0.16</v>
      </c>
    </row>
    <row r="245" spans="1:22" ht="15" x14ac:dyDescent="0.25">
      <c r="A245" s="24"/>
      <c r="B245" s="24"/>
      <c r="C245" s="24"/>
      <c r="D245" s="24"/>
      <c r="E245" s="24"/>
      <c r="F245" s="24"/>
      <c r="G245" s="24"/>
      <c r="H245" s="24"/>
      <c r="I245" s="44">
        <f>J241+J242+J243</f>
        <v>161.92000000000002</v>
      </c>
      <c r="J245" s="44"/>
      <c r="K245" s="25">
        <f>IF(Source!I514&lt;&gt;0, ROUND(I245/Source!I514, 2), 0)</f>
        <v>161.91999999999999</v>
      </c>
      <c r="P245" s="23">
        <f>I245</f>
        <v>161.92000000000002</v>
      </c>
    </row>
    <row r="246" spans="1:22" ht="42.75" x14ac:dyDescent="0.2">
      <c r="A246" s="18">
        <v>22</v>
      </c>
      <c r="B246" s="18" t="str">
        <f>Source!F515</f>
        <v>1.21-2303-28-1/1</v>
      </c>
      <c r="C246" s="18" t="str">
        <f>Source!G515</f>
        <v>Техническое обслуживание автоматического выключателя до 160 А</v>
      </c>
      <c r="D246" s="19" t="str">
        <f>Source!H515</f>
        <v>шт.</v>
      </c>
      <c r="E246" s="9">
        <f>Source!I515</f>
        <v>3</v>
      </c>
      <c r="F246" s="21"/>
      <c r="G246" s="20"/>
      <c r="H246" s="9"/>
      <c r="I246" s="9"/>
      <c r="J246" s="21"/>
      <c r="K246" s="21"/>
      <c r="Q246">
        <f>ROUND((Source!BZ515/100)*ROUND((Source!AF515*Source!AV515)*Source!I515, 2), 2)</f>
        <v>894.18</v>
      </c>
      <c r="R246">
        <f>Source!X515</f>
        <v>894.18</v>
      </c>
      <c r="S246">
        <f>ROUND((Source!CA515/100)*ROUND((Source!AF515*Source!AV515)*Source!I515, 2), 2)</f>
        <v>127.74</v>
      </c>
      <c r="T246">
        <f>Source!Y515</f>
        <v>127.74</v>
      </c>
      <c r="U246">
        <f>ROUND((175/100)*ROUND((Source!AE515*Source!AV515)*Source!I515, 2), 2)</f>
        <v>0</v>
      </c>
      <c r="V246">
        <f>ROUND((108/100)*ROUND(Source!CS515*Source!I515, 2), 2)</f>
        <v>0</v>
      </c>
    </row>
    <row r="247" spans="1:22" ht="14.25" x14ac:dyDescent="0.2">
      <c r="A247" s="18"/>
      <c r="B247" s="18"/>
      <c r="C247" s="18" t="s">
        <v>536</v>
      </c>
      <c r="D247" s="19"/>
      <c r="E247" s="9"/>
      <c r="F247" s="21">
        <f>Source!AO515</f>
        <v>212.9</v>
      </c>
      <c r="G247" s="20" t="str">
        <f>Source!DG515</f>
        <v>)*2</v>
      </c>
      <c r="H247" s="9">
        <f>Source!AV515</f>
        <v>1</v>
      </c>
      <c r="I247" s="9">
        <f>IF(Source!BA515&lt;&gt; 0, Source!BA515, 1)</f>
        <v>1</v>
      </c>
      <c r="J247" s="21">
        <f>Source!S515</f>
        <v>1277.4000000000001</v>
      </c>
      <c r="K247" s="21"/>
    </row>
    <row r="248" spans="1:22" ht="14.25" x14ac:dyDescent="0.2">
      <c r="A248" s="18"/>
      <c r="B248" s="18"/>
      <c r="C248" s="18" t="s">
        <v>544</v>
      </c>
      <c r="D248" s="19"/>
      <c r="E248" s="9"/>
      <c r="F248" s="21">
        <f>Source!AL515</f>
        <v>4.53</v>
      </c>
      <c r="G248" s="20" t="str">
        <f>Source!DD515</f>
        <v>)*2</v>
      </c>
      <c r="H248" s="9">
        <f>Source!AW515</f>
        <v>1</v>
      </c>
      <c r="I248" s="9">
        <f>IF(Source!BC515&lt;&gt; 0, Source!BC515, 1)</f>
        <v>1</v>
      </c>
      <c r="J248" s="21">
        <f>Source!P515</f>
        <v>27.18</v>
      </c>
      <c r="K248" s="21"/>
    </row>
    <row r="249" spans="1:22" ht="14.25" x14ac:dyDescent="0.2">
      <c r="A249" s="18"/>
      <c r="B249" s="18"/>
      <c r="C249" s="18" t="s">
        <v>537</v>
      </c>
      <c r="D249" s="19" t="s">
        <v>538</v>
      </c>
      <c r="E249" s="9">
        <f>Source!AT515</f>
        <v>70</v>
      </c>
      <c r="F249" s="21"/>
      <c r="G249" s="20"/>
      <c r="H249" s="9"/>
      <c r="I249" s="9"/>
      <c r="J249" s="21">
        <f>SUM(R246:R248)</f>
        <v>894.18</v>
      </c>
      <c r="K249" s="21"/>
    </row>
    <row r="250" spans="1:22" ht="14.25" x14ac:dyDescent="0.2">
      <c r="A250" s="18"/>
      <c r="B250" s="18"/>
      <c r="C250" s="18" t="s">
        <v>539</v>
      </c>
      <c r="D250" s="19" t="s">
        <v>538</v>
      </c>
      <c r="E250" s="9">
        <f>Source!AU515</f>
        <v>10</v>
      </c>
      <c r="F250" s="21"/>
      <c r="G250" s="20"/>
      <c r="H250" s="9"/>
      <c r="I250" s="9"/>
      <c r="J250" s="21">
        <f>SUM(T246:T249)</f>
        <v>127.74</v>
      </c>
      <c r="K250" s="21"/>
    </row>
    <row r="251" spans="1:22" ht="14.25" x14ac:dyDescent="0.2">
      <c r="A251" s="18"/>
      <c r="B251" s="18"/>
      <c r="C251" s="18" t="s">
        <v>540</v>
      </c>
      <c r="D251" s="19" t="s">
        <v>541</v>
      </c>
      <c r="E251" s="9">
        <f>Source!AQ515</f>
        <v>0.3</v>
      </c>
      <c r="F251" s="21"/>
      <c r="G251" s="20" t="str">
        <f>Source!DI515</f>
        <v>)*2</v>
      </c>
      <c r="H251" s="9">
        <f>Source!AV515</f>
        <v>1</v>
      </c>
      <c r="I251" s="9"/>
      <c r="J251" s="21"/>
      <c r="K251" s="21">
        <f>Source!U515</f>
        <v>1.7999999999999998</v>
      </c>
    </row>
    <row r="252" spans="1:22" ht="15" x14ac:dyDescent="0.25">
      <c r="A252" s="24"/>
      <c r="B252" s="24"/>
      <c r="C252" s="24"/>
      <c r="D252" s="24"/>
      <c r="E252" s="24"/>
      <c r="F252" s="24"/>
      <c r="G252" s="24"/>
      <c r="H252" s="24"/>
      <c r="I252" s="44">
        <f>J247+J248+J249+J250</f>
        <v>2326.5</v>
      </c>
      <c r="J252" s="44"/>
      <c r="K252" s="25">
        <f>IF(Source!I515&lt;&gt;0, ROUND(I252/Source!I515, 2), 0)</f>
        <v>775.5</v>
      </c>
      <c r="P252" s="23">
        <f>I252</f>
        <v>2326.5</v>
      </c>
    </row>
    <row r="253" spans="1:22" ht="42.75" x14ac:dyDescent="0.2">
      <c r="A253" s="18">
        <v>23</v>
      </c>
      <c r="B253" s="18" t="str">
        <f>Source!F517</f>
        <v>1.21-2303-28-1/1</v>
      </c>
      <c r="C253" s="18" t="str">
        <f>Source!G517</f>
        <v>Техническое обслуживание автоматического выключателя до 160 А</v>
      </c>
      <c r="D253" s="19" t="str">
        <f>Source!H517</f>
        <v>шт.</v>
      </c>
      <c r="E253" s="9">
        <f>Source!I517</f>
        <v>5</v>
      </c>
      <c r="F253" s="21"/>
      <c r="G253" s="20"/>
      <c r="H253" s="9"/>
      <c r="I253" s="9"/>
      <c r="J253" s="21"/>
      <c r="K253" s="21"/>
      <c r="Q253">
        <f>ROUND((Source!BZ517/100)*ROUND((Source!AF517*Source!AV517)*Source!I517, 2), 2)</f>
        <v>1490.3</v>
      </c>
      <c r="R253">
        <f>Source!X517</f>
        <v>1490.3</v>
      </c>
      <c r="S253">
        <f>ROUND((Source!CA517/100)*ROUND((Source!AF517*Source!AV517)*Source!I517, 2), 2)</f>
        <v>212.9</v>
      </c>
      <c r="T253">
        <f>Source!Y517</f>
        <v>212.9</v>
      </c>
      <c r="U253">
        <f>ROUND((175/100)*ROUND((Source!AE517*Source!AV517)*Source!I517, 2), 2)</f>
        <v>0</v>
      </c>
      <c r="V253">
        <f>ROUND((108/100)*ROUND(Source!CS517*Source!I517, 2), 2)</f>
        <v>0</v>
      </c>
    </row>
    <row r="254" spans="1:22" x14ac:dyDescent="0.2">
      <c r="C254" s="22" t="str">
        <f>"Объем: "&amp;Source!I517&amp;"=1+"&amp;"4"</f>
        <v>Объем: 5=1+4</v>
      </c>
    </row>
    <row r="255" spans="1:22" ht="14.25" x14ac:dyDescent="0.2">
      <c r="A255" s="18"/>
      <c r="B255" s="18"/>
      <c r="C255" s="18" t="s">
        <v>536</v>
      </c>
      <c r="D255" s="19"/>
      <c r="E255" s="9"/>
      <c r="F255" s="21">
        <f>Source!AO517</f>
        <v>212.9</v>
      </c>
      <c r="G255" s="20" t="str">
        <f>Source!DG517</f>
        <v>)*2</v>
      </c>
      <c r="H255" s="9">
        <f>Source!AV517</f>
        <v>1</v>
      </c>
      <c r="I255" s="9">
        <f>IF(Source!BA517&lt;&gt; 0, Source!BA517, 1)</f>
        <v>1</v>
      </c>
      <c r="J255" s="21">
        <f>Source!S517</f>
        <v>2129</v>
      </c>
      <c r="K255" s="21"/>
    </row>
    <row r="256" spans="1:22" ht="14.25" x14ac:dyDescent="0.2">
      <c r="A256" s="18"/>
      <c r="B256" s="18"/>
      <c r="C256" s="18" t="s">
        <v>544</v>
      </c>
      <c r="D256" s="19"/>
      <c r="E256" s="9"/>
      <c r="F256" s="21">
        <f>Source!AL517</f>
        <v>4.53</v>
      </c>
      <c r="G256" s="20" t="str">
        <f>Source!DD517</f>
        <v>)*2</v>
      </c>
      <c r="H256" s="9">
        <f>Source!AW517</f>
        <v>1</v>
      </c>
      <c r="I256" s="9">
        <f>IF(Source!BC517&lt;&gt; 0, Source!BC517, 1)</f>
        <v>1</v>
      </c>
      <c r="J256" s="21">
        <f>Source!P517</f>
        <v>45.3</v>
      </c>
      <c r="K256" s="21"/>
    </row>
    <row r="257" spans="1:22" ht="14.25" x14ac:dyDescent="0.2">
      <c r="A257" s="18"/>
      <c r="B257" s="18"/>
      <c r="C257" s="18" t="s">
        <v>537</v>
      </c>
      <c r="D257" s="19" t="s">
        <v>538</v>
      </c>
      <c r="E257" s="9">
        <f>Source!AT517</f>
        <v>70</v>
      </c>
      <c r="F257" s="21"/>
      <c r="G257" s="20"/>
      <c r="H257" s="9"/>
      <c r="I257" s="9"/>
      <c r="J257" s="21">
        <f>SUM(R253:R256)</f>
        <v>1490.3</v>
      </c>
      <c r="K257" s="21"/>
    </row>
    <row r="258" spans="1:22" ht="14.25" x14ac:dyDescent="0.2">
      <c r="A258" s="18"/>
      <c r="B258" s="18"/>
      <c r="C258" s="18" t="s">
        <v>539</v>
      </c>
      <c r="D258" s="19" t="s">
        <v>538</v>
      </c>
      <c r="E258" s="9">
        <f>Source!AU517</f>
        <v>10</v>
      </c>
      <c r="F258" s="21"/>
      <c r="G258" s="20"/>
      <c r="H258" s="9"/>
      <c r="I258" s="9"/>
      <c r="J258" s="21">
        <f>SUM(T253:T257)</f>
        <v>212.9</v>
      </c>
      <c r="K258" s="21"/>
    </row>
    <row r="259" spans="1:22" ht="14.25" x14ac:dyDescent="0.2">
      <c r="A259" s="18"/>
      <c r="B259" s="18"/>
      <c r="C259" s="18" t="s">
        <v>540</v>
      </c>
      <c r="D259" s="19" t="s">
        <v>541</v>
      </c>
      <c r="E259" s="9">
        <f>Source!AQ517</f>
        <v>0.3</v>
      </c>
      <c r="F259" s="21"/>
      <c r="G259" s="20" t="str">
        <f>Source!DI517</f>
        <v>)*2</v>
      </c>
      <c r="H259" s="9">
        <f>Source!AV517</f>
        <v>1</v>
      </c>
      <c r="I259" s="9"/>
      <c r="J259" s="21"/>
      <c r="K259" s="21">
        <f>Source!U517</f>
        <v>3</v>
      </c>
    </row>
    <row r="260" spans="1:22" ht="15" x14ac:dyDescent="0.25">
      <c r="A260" s="24"/>
      <c r="B260" s="24"/>
      <c r="C260" s="24"/>
      <c r="D260" s="24"/>
      <c r="E260" s="24"/>
      <c r="F260" s="24"/>
      <c r="G260" s="24"/>
      <c r="H260" s="24"/>
      <c r="I260" s="44">
        <f>J255+J256+J257+J258</f>
        <v>3877.5000000000005</v>
      </c>
      <c r="J260" s="44"/>
      <c r="K260" s="25">
        <f>IF(Source!I517&lt;&gt;0, ROUND(I260/Source!I517, 2), 0)</f>
        <v>775.5</v>
      </c>
      <c r="P260" s="23">
        <f>I260</f>
        <v>3877.5000000000005</v>
      </c>
    </row>
    <row r="261" spans="1:22" ht="42.75" x14ac:dyDescent="0.2">
      <c r="A261" s="18">
        <v>24</v>
      </c>
      <c r="B261" s="18" t="str">
        <f>Source!F519</f>
        <v>1.21-2303-49-1/1</v>
      </c>
      <c r="C261" s="18" t="str">
        <f>Source!G519</f>
        <v>Техническое обслуживание расцепителя напряжения независимого - полугодовое</v>
      </c>
      <c r="D261" s="19" t="str">
        <f>Source!H519</f>
        <v>шт.</v>
      </c>
      <c r="E261" s="9">
        <f>Source!I519</f>
        <v>1</v>
      </c>
      <c r="F261" s="21"/>
      <c r="G261" s="20"/>
      <c r="H261" s="9"/>
      <c r="I261" s="9"/>
      <c r="J261" s="21"/>
      <c r="K261" s="21"/>
      <c r="Q261">
        <f>ROUND((Source!BZ519/100)*ROUND((Source!AF519*Source!AV519)*Source!I519, 2), 2)</f>
        <v>62.97</v>
      </c>
      <c r="R261">
        <f>Source!X519</f>
        <v>62.97</v>
      </c>
      <c r="S261">
        <f>ROUND((Source!CA519/100)*ROUND((Source!AF519*Source!AV519)*Source!I519, 2), 2)</f>
        <v>9</v>
      </c>
      <c r="T261">
        <f>Source!Y519</f>
        <v>9</v>
      </c>
      <c r="U261">
        <f>ROUND((175/100)*ROUND((Source!AE519*Source!AV519)*Source!I519, 2), 2)</f>
        <v>0</v>
      </c>
      <c r="V261">
        <f>ROUND((108/100)*ROUND(Source!CS519*Source!I519, 2), 2)</f>
        <v>0</v>
      </c>
    </row>
    <row r="262" spans="1:22" ht="14.25" x14ac:dyDescent="0.2">
      <c r="A262" s="18"/>
      <c r="B262" s="18"/>
      <c r="C262" s="18" t="s">
        <v>536</v>
      </c>
      <c r="D262" s="19"/>
      <c r="E262" s="9"/>
      <c r="F262" s="21">
        <f>Source!AO519</f>
        <v>89.95</v>
      </c>
      <c r="G262" s="20" t="str">
        <f>Source!DG519</f>
        <v/>
      </c>
      <c r="H262" s="9">
        <f>Source!AV519</f>
        <v>1</v>
      </c>
      <c r="I262" s="9">
        <f>IF(Source!BA519&lt;&gt; 0, Source!BA519, 1)</f>
        <v>1</v>
      </c>
      <c r="J262" s="21">
        <f>Source!S519</f>
        <v>89.95</v>
      </c>
      <c r="K262" s="21"/>
    </row>
    <row r="263" spans="1:22" ht="14.25" x14ac:dyDescent="0.2">
      <c r="A263" s="18"/>
      <c r="B263" s="18"/>
      <c r="C263" s="18" t="s">
        <v>537</v>
      </c>
      <c r="D263" s="19" t="s">
        <v>538</v>
      </c>
      <c r="E263" s="9">
        <f>Source!AT519</f>
        <v>70</v>
      </c>
      <c r="F263" s="21"/>
      <c r="G263" s="20"/>
      <c r="H263" s="9"/>
      <c r="I263" s="9"/>
      <c r="J263" s="21">
        <f>SUM(R261:R262)</f>
        <v>62.97</v>
      </c>
      <c r="K263" s="21"/>
    </row>
    <row r="264" spans="1:22" ht="14.25" x14ac:dyDescent="0.2">
      <c r="A264" s="18"/>
      <c r="B264" s="18"/>
      <c r="C264" s="18" t="s">
        <v>539</v>
      </c>
      <c r="D264" s="19" t="s">
        <v>538</v>
      </c>
      <c r="E264" s="9">
        <f>Source!AU519</f>
        <v>10</v>
      </c>
      <c r="F264" s="21"/>
      <c r="G264" s="20"/>
      <c r="H264" s="9"/>
      <c r="I264" s="9"/>
      <c r="J264" s="21">
        <f>SUM(T261:T263)</f>
        <v>9</v>
      </c>
      <c r="K264" s="21"/>
    </row>
    <row r="265" spans="1:22" ht="14.25" x14ac:dyDescent="0.2">
      <c r="A265" s="18"/>
      <c r="B265" s="18"/>
      <c r="C265" s="18" t="s">
        <v>540</v>
      </c>
      <c r="D265" s="19" t="s">
        <v>541</v>
      </c>
      <c r="E265" s="9">
        <f>Source!AQ519</f>
        <v>0.16</v>
      </c>
      <c r="F265" s="21"/>
      <c r="G265" s="20" t="str">
        <f>Source!DI519</f>
        <v/>
      </c>
      <c r="H265" s="9">
        <f>Source!AV519</f>
        <v>1</v>
      </c>
      <c r="I265" s="9"/>
      <c r="J265" s="21"/>
      <c r="K265" s="21">
        <f>Source!U519</f>
        <v>0.16</v>
      </c>
    </row>
    <row r="266" spans="1:22" ht="15" x14ac:dyDescent="0.25">
      <c r="A266" s="24"/>
      <c r="B266" s="24"/>
      <c r="C266" s="24"/>
      <c r="D266" s="24"/>
      <c r="E266" s="24"/>
      <c r="F266" s="24"/>
      <c r="G266" s="24"/>
      <c r="H266" s="24"/>
      <c r="I266" s="44">
        <f>J262+J263+J264</f>
        <v>161.92000000000002</v>
      </c>
      <c r="J266" s="44"/>
      <c r="K266" s="25">
        <f>IF(Source!I519&lt;&gt;0, ROUND(I266/Source!I519, 2), 0)</f>
        <v>161.91999999999999</v>
      </c>
      <c r="P266" s="23">
        <f>I266</f>
        <v>161.92000000000002</v>
      </c>
    </row>
    <row r="267" spans="1:22" ht="42.75" x14ac:dyDescent="0.2">
      <c r="A267" s="18">
        <v>25</v>
      </c>
      <c r="B267" s="18" t="str">
        <f>Source!F520</f>
        <v>1.21-2303-28-1/1</v>
      </c>
      <c r="C267" s="18" t="str">
        <f>Source!G520</f>
        <v>Техническое обслуживание автоматического выключателя до 160 А</v>
      </c>
      <c r="D267" s="19" t="str">
        <f>Source!H520</f>
        <v>шт.</v>
      </c>
      <c r="E267" s="9">
        <f>Source!I520</f>
        <v>3</v>
      </c>
      <c r="F267" s="21"/>
      <c r="G267" s="20"/>
      <c r="H267" s="9"/>
      <c r="I267" s="9"/>
      <c r="J267" s="21"/>
      <c r="K267" s="21"/>
      <c r="Q267">
        <f>ROUND((Source!BZ520/100)*ROUND((Source!AF520*Source!AV520)*Source!I520, 2), 2)</f>
        <v>894.18</v>
      </c>
      <c r="R267">
        <f>Source!X520</f>
        <v>894.18</v>
      </c>
      <c r="S267">
        <f>ROUND((Source!CA520/100)*ROUND((Source!AF520*Source!AV520)*Source!I520, 2), 2)</f>
        <v>127.74</v>
      </c>
      <c r="T267">
        <f>Source!Y520</f>
        <v>127.74</v>
      </c>
      <c r="U267">
        <f>ROUND((175/100)*ROUND((Source!AE520*Source!AV520)*Source!I520, 2), 2)</f>
        <v>0</v>
      </c>
      <c r="V267">
        <f>ROUND((108/100)*ROUND(Source!CS520*Source!I520, 2), 2)</f>
        <v>0</v>
      </c>
    </row>
    <row r="268" spans="1:22" ht="14.25" x14ac:dyDescent="0.2">
      <c r="A268" s="18"/>
      <c r="B268" s="18"/>
      <c r="C268" s="18" t="s">
        <v>536</v>
      </c>
      <c r="D268" s="19"/>
      <c r="E268" s="9"/>
      <c r="F268" s="21">
        <f>Source!AO520</f>
        <v>212.9</v>
      </c>
      <c r="G268" s="20" t="str">
        <f>Source!DG520</f>
        <v>)*2</v>
      </c>
      <c r="H268" s="9">
        <f>Source!AV520</f>
        <v>1</v>
      </c>
      <c r="I268" s="9">
        <f>IF(Source!BA520&lt;&gt; 0, Source!BA520, 1)</f>
        <v>1</v>
      </c>
      <c r="J268" s="21">
        <f>Source!S520</f>
        <v>1277.4000000000001</v>
      </c>
      <c r="K268" s="21"/>
    </row>
    <row r="269" spans="1:22" ht="14.25" x14ac:dyDescent="0.2">
      <c r="A269" s="18"/>
      <c r="B269" s="18"/>
      <c r="C269" s="18" t="s">
        <v>544</v>
      </c>
      <c r="D269" s="19"/>
      <c r="E269" s="9"/>
      <c r="F269" s="21">
        <f>Source!AL520</f>
        <v>4.53</v>
      </c>
      <c r="G269" s="20" t="str">
        <f>Source!DD520</f>
        <v>)*2</v>
      </c>
      <c r="H269" s="9">
        <f>Source!AW520</f>
        <v>1</v>
      </c>
      <c r="I269" s="9">
        <f>IF(Source!BC520&lt;&gt; 0, Source!BC520, 1)</f>
        <v>1</v>
      </c>
      <c r="J269" s="21">
        <f>Source!P520</f>
        <v>27.18</v>
      </c>
      <c r="K269" s="21"/>
    </row>
    <row r="270" spans="1:22" ht="14.25" x14ac:dyDescent="0.2">
      <c r="A270" s="18"/>
      <c r="B270" s="18"/>
      <c r="C270" s="18" t="s">
        <v>537</v>
      </c>
      <c r="D270" s="19" t="s">
        <v>538</v>
      </c>
      <c r="E270" s="9">
        <f>Source!AT520</f>
        <v>70</v>
      </c>
      <c r="F270" s="21"/>
      <c r="G270" s="20"/>
      <c r="H270" s="9"/>
      <c r="I270" s="9"/>
      <c r="J270" s="21">
        <f>SUM(R267:R269)</f>
        <v>894.18</v>
      </c>
      <c r="K270" s="21"/>
    </row>
    <row r="271" spans="1:22" ht="14.25" x14ac:dyDescent="0.2">
      <c r="A271" s="18"/>
      <c r="B271" s="18"/>
      <c r="C271" s="18" t="s">
        <v>539</v>
      </c>
      <c r="D271" s="19" t="s">
        <v>538</v>
      </c>
      <c r="E271" s="9">
        <f>Source!AU520</f>
        <v>10</v>
      </c>
      <c r="F271" s="21"/>
      <c r="G271" s="20"/>
      <c r="H271" s="9"/>
      <c r="I271" s="9"/>
      <c r="J271" s="21">
        <f>SUM(T267:T270)</f>
        <v>127.74</v>
      </c>
      <c r="K271" s="21"/>
    </row>
    <row r="272" spans="1:22" ht="14.25" x14ac:dyDescent="0.2">
      <c r="A272" s="18"/>
      <c r="B272" s="18"/>
      <c r="C272" s="18" t="s">
        <v>540</v>
      </c>
      <c r="D272" s="19" t="s">
        <v>541</v>
      </c>
      <c r="E272" s="9">
        <f>Source!AQ520</f>
        <v>0.3</v>
      </c>
      <c r="F272" s="21"/>
      <c r="G272" s="20" t="str">
        <f>Source!DI520</f>
        <v>)*2</v>
      </c>
      <c r="H272" s="9">
        <f>Source!AV520</f>
        <v>1</v>
      </c>
      <c r="I272" s="9"/>
      <c r="J272" s="21"/>
      <c r="K272" s="21">
        <f>Source!U520</f>
        <v>1.7999999999999998</v>
      </c>
    </row>
    <row r="273" spans="1:22" ht="15" x14ac:dyDescent="0.25">
      <c r="A273" s="24"/>
      <c r="B273" s="24"/>
      <c r="C273" s="24"/>
      <c r="D273" s="24"/>
      <c r="E273" s="24"/>
      <c r="F273" s="24"/>
      <c r="G273" s="24"/>
      <c r="H273" s="24"/>
      <c r="I273" s="44">
        <f>J268+J269+J270+J271</f>
        <v>2326.5</v>
      </c>
      <c r="J273" s="44"/>
      <c r="K273" s="25">
        <f>IF(Source!I520&lt;&gt;0, ROUND(I273/Source!I520, 2), 0)</f>
        <v>775.5</v>
      </c>
      <c r="P273" s="23">
        <f>I273</f>
        <v>2326.5</v>
      </c>
    </row>
    <row r="274" spans="1:22" ht="42.75" x14ac:dyDescent="0.2">
      <c r="A274" s="18">
        <v>26</v>
      </c>
      <c r="B274" s="18" t="str">
        <f>Source!F522</f>
        <v>1.21-2303-28-1/1</v>
      </c>
      <c r="C274" s="18" t="str">
        <f>Source!G522</f>
        <v>Техническое обслуживание автоматического выключателя до 160 А</v>
      </c>
      <c r="D274" s="19" t="str">
        <f>Source!H522</f>
        <v>шт.</v>
      </c>
      <c r="E274" s="9">
        <f>Source!I522</f>
        <v>4</v>
      </c>
      <c r="F274" s="21"/>
      <c r="G274" s="20"/>
      <c r="H274" s="9"/>
      <c r="I274" s="9"/>
      <c r="J274" s="21"/>
      <c r="K274" s="21"/>
      <c r="Q274">
        <f>ROUND((Source!BZ522/100)*ROUND((Source!AF522*Source!AV522)*Source!I522, 2), 2)</f>
        <v>1192.24</v>
      </c>
      <c r="R274">
        <f>Source!X522</f>
        <v>1192.24</v>
      </c>
      <c r="S274">
        <f>ROUND((Source!CA522/100)*ROUND((Source!AF522*Source!AV522)*Source!I522, 2), 2)</f>
        <v>170.32</v>
      </c>
      <c r="T274">
        <f>Source!Y522</f>
        <v>170.32</v>
      </c>
      <c r="U274">
        <f>ROUND((175/100)*ROUND((Source!AE522*Source!AV522)*Source!I522, 2), 2)</f>
        <v>0</v>
      </c>
      <c r="V274">
        <f>ROUND((108/100)*ROUND(Source!CS522*Source!I522, 2), 2)</f>
        <v>0</v>
      </c>
    </row>
    <row r="275" spans="1:22" x14ac:dyDescent="0.2">
      <c r="C275" s="22" t="str">
        <f>"Объем: "&amp;Source!I522&amp;"=1+"&amp;"3"</f>
        <v>Объем: 4=1+3</v>
      </c>
    </row>
    <row r="276" spans="1:22" ht="14.25" x14ac:dyDescent="0.2">
      <c r="A276" s="18"/>
      <c r="B276" s="18"/>
      <c r="C276" s="18" t="s">
        <v>536</v>
      </c>
      <c r="D276" s="19"/>
      <c r="E276" s="9"/>
      <c r="F276" s="21">
        <f>Source!AO522</f>
        <v>212.9</v>
      </c>
      <c r="G276" s="20" t="str">
        <f>Source!DG522</f>
        <v>)*2</v>
      </c>
      <c r="H276" s="9">
        <f>Source!AV522</f>
        <v>1</v>
      </c>
      <c r="I276" s="9">
        <f>IF(Source!BA522&lt;&gt; 0, Source!BA522, 1)</f>
        <v>1</v>
      </c>
      <c r="J276" s="21">
        <f>Source!S522</f>
        <v>1703.2</v>
      </c>
      <c r="K276" s="21"/>
    </row>
    <row r="277" spans="1:22" ht="14.25" x14ac:dyDescent="0.2">
      <c r="A277" s="18"/>
      <c r="B277" s="18"/>
      <c r="C277" s="18" t="s">
        <v>544</v>
      </c>
      <c r="D277" s="19"/>
      <c r="E277" s="9"/>
      <c r="F277" s="21">
        <f>Source!AL522</f>
        <v>4.53</v>
      </c>
      <c r="G277" s="20" t="str">
        <f>Source!DD522</f>
        <v>)*2</v>
      </c>
      <c r="H277" s="9">
        <f>Source!AW522</f>
        <v>1</v>
      </c>
      <c r="I277" s="9">
        <f>IF(Source!BC522&lt;&gt; 0, Source!BC522, 1)</f>
        <v>1</v>
      </c>
      <c r="J277" s="21">
        <f>Source!P522</f>
        <v>36.24</v>
      </c>
      <c r="K277" s="21"/>
    </row>
    <row r="278" spans="1:22" ht="14.25" x14ac:dyDescent="0.2">
      <c r="A278" s="18"/>
      <c r="B278" s="18"/>
      <c r="C278" s="18" t="s">
        <v>537</v>
      </c>
      <c r="D278" s="19" t="s">
        <v>538</v>
      </c>
      <c r="E278" s="9">
        <f>Source!AT522</f>
        <v>70</v>
      </c>
      <c r="F278" s="21"/>
      <c r="G278" s="20"/>
      <c r="H278" s="9"/>
      <c r="I278" s="9"/>
      <c r="J278" s="21">
        <f>SUM(R274:R277)</f>
        <v>1192.24</v>
      </c>
      <c r="K278" s="21"/>
    </row>
    <row r="279" spans="1:22" ht="14.25" x14ac:dyDescent="0.2">
      <c r="A279" s="18"/>
      <c r="B279" s="18"/>
      <c r="C279" s="18" t="s">
        <v>539</v>
      </c>
      <c r="D279" s="19" t="s">
        <v>538</v>
      </c>
      <c r="E279" s="9">
        <f>Source!AU522</f>
        <v>10</v>
      </c>
      <c r="F279" s="21"/>
      <c r="G279" s="20"/>
      <c r="H279" s="9"/>
      <c r="I279" s="9"/>
      <c r="J279" s="21">
        <f>SUM(T274:T278)</f>
        <v>170.32</v>
      </c>
      <c r="K279" s="21"/>
    </row>
    <row r="280" spans="1:22" ht="14.25" x14ac:dyDescent="0.2">
      <c r="A280" s="18"/>
      <c r="B280" s="18"/>
      <c r="C280" s="18" t="s">
        <v>540</v>
      </c>
      <c r="D280" s="19" t="s">
        <v>541</v>
      </c>
      <c r="E280" s="9">
        <f>Source!AQ522</f>
        <v>0.3</v>
      </c>
      <c r="F280" s="21"/>
      <c r="G280" s="20" t="str">
        <f>Source!DI522</f>
        <v>)*2</v>
      </c>
      <c r="H280" s="9">
        <f>Source!AV522</f>
        <v>1</v>
      </c>
      <c r="I280" s="9"/>
      <c r="J280" s="21"/>
      <c r="K280" s="21">
        <f>Source!U522</f>
        <v>2.4</v>
      </c>
    </row>
    <row r="281" spans="1:22" ht="15" x14ac:dyDescent="0.25">
      <c r="A281" s="24"/>
      <c r="B281" s="24"/>
      <c r="C281" s="24"/>
      <c r="D281" s="24"/>
      <c r="E281" s="24"/>
      <c r="F281" s="24"/>
      <c r="G281" s="24"/>
      <c r="H281" s="24"/>
      <c r="I281" s="44">
        <f>J276+J277+J278+J279</f>
        <v>3102.0000000000005</v>
      </c>
      <c r="J281" s="44"/>
      <c r="K281" s="25">
        <f>IF(Source!I522&lt;&gt;0, ROUND(I281/Source!I522, 2), 0)</f>
        <v>775.5</v>
      </c>
      <c r="P281" s="23">
        <f>I281</f>
        <v>3102.0000000000005</v>
      </c>
    </row>
    <row r="282" spans="1:22" ht="42.75" x14ac:dyDescent="0.2">
      <c r="A282" s="18">
        <v>27</v>
      </c>
      <c r="B282" s="18" t="str">
        <f>Source!F524</f>
        <v>1.21-2303-49-1/1</v>
      </c>
      <c r="C282" s="18" t="str">
        <f>Source!G524</f>
        <v>Техническое обслуживание расцепителя напряжения независимого - полугодовое</v>
      </c>
      <c r="D282" s="19" t="str">
        <f>Source!H524</f>
        <v>шт.</v>
      </c>
      <c r="E282" s="9">
        <f>Source!I524</f>
        <v>1</v>
      </c>
      <c r="F282" s="21"/>
      <c r="G282" s="20"/>
      <c r="H282" s="9"/>
      <c r="I282" s="9"/>
      <c r="J282" s="21"/>
      <c r="K282" s="21"/>
      <c r="Q282">
        <f>ROUND((Source!BZ524/100)*ROUND((Source!AF524*Source!AV524)*Source!I524, 2), 2)</f>
        <v>62.97</v>
      </c>
      <c r="R282">
        <f>Source!X524</f>
        <v>62.97</v>
      </c>
      <c r="S282">
        <f>ROUND((Source!CA524/100)*ROUND((Source!AF524*Source!AV524)*Source!I524, 2), 2)</f>
        <v>9</v>
      </c>
      <c r="T282">
        <f>Source!Y524</f>
        <v>9</v>
      </c>
      <c r="U282">
        <f>ROUND((175/100)*ROUND((Source!AE524*Source!AV524)*Source!I524, 2), 2)</f>
        <v>0</v>
      </c>
      <c r="V282">
        <f>ROUND((108/100)*ROUND(Source!CS524*Source!I524, 2), 2)</f>
        <v>0</v>
      </c>
    </row>
    <row r="283" spans="1:22" ht="14.25" x14ac:dyDescent="0.2">
      <c r="A283" s="18"/>
      <c r="B283" s="18"/>
      <c r="C283" s="18" t="s">
        <v>536</v>
      </c>
      <c r="D283" s="19"/>
      <c r="E283" s="9"/>
      <c r="F283" s="21">
        <f>Source!AO524</f>
        <v>89.95</v>
      </c>
      <c r="G283" s="20" t="str">
        <f>Source!DG524</f>
        <v/>
      </c>
      <c r="H283" s="9">
        <f>Source!AV524</f>
        <v>1</v>
      </c>
      <c r="I283" s="9">
        <f>IF(Source!BA524&lt;&gt; 0, Source!BA524, 1)</f>
        <v>1</v>
      </c>
      <c r="J283" s="21">
        <f>Source!S524</f>
        <v>89.95</v>
      </c>
      <c r="K283" s="21"/>
    </row>
    <row r="284" spans="1:22" ht="14.25" x14ac:dyDescent="0.2">
      <c r="A284" s="18"/>
      <c r="B284" s="18"/>
      <c r="C284" s="18" t="s">
        <v>537</v>
      </c>
      <c r="D284" s="19" t="s">
        <v>538</v>
      </c>
      <c r="E284" s="9">
        <f>Source!AT524</f>
        <v>70</v>
      </c>
      <c r="F284" s="21"/>
      <c r="G284" s="20"/>
      <c r="H284" s="9"/>
      <c r="I284" s="9"/>
      <c r="J284" s="21">
        <f>SUM(R282:R283)</f>
        <v>62.97</v>
      </c>
      <c r="K284" s="21"/>
    </row>
    <row r="285" spans="1:22" ht="14.25" x14ac:dyDescent="0.2">
      <c r="A285" s="18"/>
      <c r="B285" s="18"/>
      <c r="C285" s="18" t="s">
        <v>539</v>
      </c>
      <c r="D285" s="19" t="s">
        <v>538</v>
      </c>
      <c r="E285" s="9">
        <f>Source!AU524</f>
        <v>10</v>
      </c>
      <c r="F285" s="21"/>
      <c r="G285" s="20"/>
      <c r="H285" s="9"/>
      <c r="I285" s="9"/>
      <c r="J285" s="21">
        <f>SUM(T282:T284)</f>
        <v>9</v>
      </c>
      <c r="K285" s="21"/>
    </row>
    <row r="286" spans="1:22" ht="14.25" x14ac:dyDescent="0.2">
      <c r="A286" s="18"/>
      <c r="B286" s="18"/>
      <c r="C286" s="18" t="s">
        <v>540</v>
      </c>
      <c r="D286" s="19" t="s">
        <v>541</v>
      </c>
      <c r="E286" s="9">
        <f>Source!AQ524</f>
        <v>0.16</v>
      </c>
      <c r="F286" s="21"/>
      <c r="G286" s="20" t="str">
        <f>Source!DI524</f>
        <v/>
      </c>
      <c r="H286" s="9">
        <f>Source!AV524</f>
        <v>1</v>
      </c>
      <c r="I286" s="9"/>
      <c r="J286" s="21"/>
      <c r="K286" s="21">
        <f>Source!U524</f>
        <v>0.16</v>
      </c>
    </row>
    <row r="287" spans="1:22" ht="15" x14ac:dyDescent="0.25">
      <c r="A287" s="24"/>
      <c r="B287" s="24"/>
      <c r="C287" s="24"/>
      <c r="D287" s="24"/>
      <c r="E287" s="24"/>
      <c r="F287" s="24"/>
      <c r="G287" s="24"/>
      <c r="H287" s="24"/>
      <c r="I287" s="44">
        <f>J283+J284+J285</f>
        <v>161.92000000000002</v>
      </c>
      <c r="J287" s="44"/>
      <c r="K287" s="25">
        <f>IF(Source!I524&lt;&gt;0, ROUND(I287/Source!I524, 2), 0)</f>
        <v>161.91999999999999</v>
      </c>
      <c r="P287" s="23">
        <f>I287</f>
        <v>161.92000000000002</v>
      </c>
    </row>
    <row r="288" spans="1:22" ht="42.75" x14ac:dyDescent="0.2">
      <c r="A288" s="18">
        <v>28</v>
      </c>
      <c r="B288" s="18" t="str">
        <f>Source!F525</f>
        <v>1.21-2303-28-1/1</v>
      </c>
      <c r="C288" s="18" t="str">
        <f>Source!G525</f>
        <v>Техническое обслуживание автоматического выключателя до 160 А</v>
      </c>
      <c r="D288" s="19" t="str">
        <f>Source!H525</f>
        <v>шт.</v>
      </c>
      <c r="E288" s="9">
        <f>Source!I525</f>
        <v>2</v>
      </c>
      <c r="F288" s="21"/>
      <c r="G288" s="20"/>
      <c r="H288" s="9"/>
      <c r="I288" s="9"/>
      <c r="J288" s="21"/>
      <c r="K288" s="21"/>
      <c r="Q288">
        <f>ROUND((Source!BZ525/100)*ROUND((Source!AF525*Source!AV525)*Source!I525, 2), 2)</f>
        <v>596.12</v>
      </c>
      <c r="R288">
        <f>Source!X525</f>
        <v>596.12</v>
      </c>
      <c r="S288">
        <f>ROUND((Source!CA525/100)*ROUND((Source!AF525*Source!AV525)*Source!I525, 2), 2)</f>
        <v>85.16</v>
      </c>
      <c r="T288">
        <f>Source!Y525</f>
        <v>85.16</v>
      </c>
      <c r="U288">
        <f>ROUND((175/100)*ROUND((Source!AE525*Source!AV525)*Source!I525, 2), 2)</f>
        <v>0</v>
      </c>
      <c r="V288">
        <f>ROUND((108/100)*ROUND(Source!CS525*Source!I525, 2), 2)</f>
        <v>0</v>
      </c>
    </row>
    <row r="289" spans="1:22" ht="14.25" x14ac:dyDescent="0.2">
      <c r="A289" s="18"/>
      <c r="B289" s="18"/>
      <c r="C289" s="18" t="s">
        <v>536</v>
      </c>
      <c r="D289" s="19"/>
      <c r="E289" s="9"/>
      <c r="F289" s="21">
        <f>Source!AO525</f>
        <v>212.9</v>
      </c>
      <c r="G289" s="20" t="str">
        <f>Source!DG525</f>
        <v>)*2</v>
      </c>
      <c r="H289" s="9">
        <f>Source!AV525</f>
        <v>1</v>
      </c>
      <c r="I289" s="9">
        <f>IF(Source!BA525&lt;&gt; 0, Source!BA525, 1)</f>
        <v>1</v>
      </c>
      <c r="J289" s="21">
        <f>Source!S525</f>
        <v>851.6</v>
      </c>
      <c r="K289" s="21"/>
    </row>
    <row r="290" spans="1:22" ht="14.25" x14ac:dyDescent="0.2">
      <c r="A290" s="18"/>
      <c r="B290" s="18"/>
      <c r="C290" s="18" t="s">
        <v>544</v>
      </c>
      <c r="D290" s="19"/>
      <c r="E290" s="9"/>
      <c r="F290" s="21">
        <f>Source!AL525</f>
        <v>4.53</v>
      </c>
      <c r="G290" s="20" t="str">
        <f>Source!DD525</f>
        <v>)*2</v>
      </c>
      <c r="H290" s="9">
        <f>Source!AW525</f>
        <v>1</v>
      </c>
      <c r="I290" s="9">
        <f>IF(Source!BC525&lt;&gt; 0, Source!BC525, 1)</f>
        <v>1</v>
      </c>
      <c r="J290" s="21">
        <f>Source!P525</f>
        <v>18.12</v>
      </c>
      <c r="K290" s="21"/>
    </row>
    <row r="291" spans="1:22" ht="14.25" x14ac:dyDescent="0.2">
      <c r="A291" s="18"/>
      <c r="B291" s="18"/>
      <c r="C291" s="18" t="s">
        <v>537</v>
      </c>
      <c r="D291" s="19" t="s">
        <v>538</v>
      </c>
      <c r="E291" s="9">
        <f>Source!AT525</f>
        <v>70</v>
      </c>
      <c r="F291" s="21"/>
      <c r="G291" s="20"/>
      <c r="H291" s="9"/>
      <c r="I291" s="9"/>
      <c r="J291" s="21">
        <f>SUM(R288:R290)</f>
        <v>596.12</v>
      </c>
      <c r="K291" s="21"/>
    </row>
    <row r="292" spans="1:22" ht="14.25" x14ac:dyDescent="0.2">
      <c r="A292" s="18"/>
      <c r="B292" s="18"/>
      <c r="C292" s="18" t="s">
        <v>539</v>
      </c>
      <c r="D292" s="19" t="s">
        <v>538</v>
      </c>
      <c r="E292" s="9">
        <f>Source!AU525</f>
        <v>10</v>
      </c>
      <c r="F292" s="21"/>
      <c r="G292" s="20"/>
      <c r="H292" s="9"/>
      <c r="I292" s="9"/>
      <c r="J292" s="21">
        <f>SUM(T288:T291)</f>
        <v>85.16</v>
      </c>
      <c r="K292" s="21"/>
    </row>
    <row r="293" spans="1:22" ht="14.25" x14ac:dyDescent="0.2">
      <c r="A293" s="18"/>
      <c r="B293" s="18"/>
      <c r="C293" s="18" t="s">
        <v>540</v>
      </c>
      <c r="D293" s="19" t="s">
        <v>541</v>
      </c>
      <c r="E293" s="9">
        <f>Source!AQ525</f>
        <v>0.3</v>
      </c>
      <c r="F293" s="21"/>
      <c r="G293" s="20" t="str">
        <f>Source!DI525</f>
        <v>)*2</v>
      </c>
      <c r="H293" s="9">
        <f>Source!AV525</f>
        <v>1</v>
      </c>
      <c r="I293" s="9"/>
      <c r="J293" s="21"/>
      <c r="K293" s="21">
        <f>Source!U525</f>
        <v>1.2</v>
      </c>
    </row>
    <row r="294" spans="1:22" ht="15" x14ac:dyDescent="0.25">
      <c r="A294" s="24"/>
      <c r="B294" s="24"/>
      <c r="C294" s="24"/>
      <c r="D294" s="24"/>
      <c r="E294" s="24"/>
      <c r="F294" s="24"/>
      <c r="G294" s="24"/>
      <c r="H294" s="24"/>
      <c r="I294" s="44">
        <f>J289+J290+J291+J292</f>
        <v>1551.0000000000002</v>
      </c>
      <c r="J294" s="44"/>
      <c r="K294" s="25">
        <f>IF(Source!I525&lt;&gt;0, ROUND(I294/Source!I525, 2), 0)</f>
        <v>775.5</v>
      </c>
      <c r="P294" s="23">
        <f>I294</f>
        <v>1551.0000000000002</v>
      </c>
    </row>
    <row r="295" spans="1:22" ht="42.75" x14ac:dyDescent="0.2">
      <c r="A295" s="18">
        <v>29</v>
      </c>
      <c r="B295" s="18" t="str">
        <f>Source!F527</f>
        <v>1.21-2303-28-1/1</v>
      </c>
      <c r="C295" s="18" t="str">
        <f>Source!G527</f>
        <v>Техническое обслуживание автоматического выключателя до 160 А</v>
      </c>
      <c r="D295" s="19" t="str">
        <f>Source!H527</f>
        <v>шт.</v>
      </c>
      <c r="E295" s="9">
        <f>Source!I527</f>
        <v>5</v>
      </c>
      <c r="F295" s="21"/>
      <c r="G295" s="20"/>
      <c r="H295" s="9"/>
      <c r="I295" s="9"/>
      <c r="J295" s="21"/>
      <c r="K295" s="21"/>
      <c r="Q295">
        <f>ROUND((Source!BZ527/100)*ROUND((Source!AF527*Source!AV527)*Source!I527, 2), 2)</f>
        <v>1490.3</v>
      </c>
      <c r="R295">
        <f>Source!X527</f>
        <v>1490.3</v>
      </c>
      <c r="S295">
        <f>ROUND((Source!CA527/100)*ROUND((Source!AF527*Source!AV527)*Source!I527, 2), 2)</f>
        <v>212.9</v>
      </c>
      <c r="T295">
        <f>Source!Y527</f>
        <v>212.9</v>
      </c>
      <c r="U295">
        <f>ROUND((175/100)*ROUND((Source!AE527*Source!AV527)*Source!I527, 2), 2)</f>
        <v>0</v>
      </c>
      <c r="V295">
        <f>ROUND((108/100)*ROUND(Source!CS527*Source!I527, 2), 2)</f>
        <v>0</v>
      </c>
    </row>
    <row r="296" spans="1:22" x14ac:dyDescent="0.2">
      <c r="C296" s="22" t="str">
        <f>"Объем: "&amp;Source!I527&amp;"=1+"&amp;"4"</f>
        <v>Объем: 5=1+4</v>
      </c>
    </row>
    <row r="297" spans="1:22" ht="14.25" x14ac:dyDescent="0.2">
      <c r="A297" s="18"/>
      <c r="B297" s="18"/>
      <c r="C297" s="18" t="s">
        <v>536</v>
      </c>
      <c r="D297" s="19"/>
      <c r="E297" s="9"/>
      <c r="F297" s="21">
        <f>Source!AO527</f>
        <v>212.9</v>
      </c>
      <c r="G297" s="20" t="str">
        <f>Source!DG527</f>
        <v>)*2</v>
      </c>
      <c r="H297" s="9">
        <f>Source!AV527</f>
        <v>1</v>
      </c>
      <c r="I297" s="9">
        <f>IF(Source!BA527&lt;&gt; 0, Source!BA527, 1)</f>
        <v>1</v>
      </c>
      <c r="J297" s="21">
        <f>Source!S527</f>
        <v>2129</v>
      </c>
      <c r="K297" s="21"/>
    </row>
    <row r="298" spans="1:22" ht="14.25" x14ac:dyDescent="0.2">
      <c r="A298" s="18"/>
      <c r="B298" s="18"/>
      <c r="C298" s="18" t="s">
        <v>544</v>
      </c>
      <c r="D298" s="19"/>
      <c r="E298" s="9"/>
      <c r="F298" s="21">
        <f>Source!AL527</f>
        <v>4.53</v>
      </c>
      <c r="G298" s="20" t="str">
        <f>Source!DD527</f>
        <v>)*2</v>
      </c>
      <c r="H298" s="9">
        <f>Source!AW527</f>
        <v>1</v>
      </c>
      <c r="I298" s="9">
        <f>IF(Source!BC527&lt;&gt; 0, Source!BC527, 1)</f>
        <v>1</v>
      </c>
      <c r="J298" s="21">
        <f>Source!P527</f>
        <v>45.3</v>
      </c>
      <c r="K298" s="21"/>
    </row>
    <row r="299" spans="1:22" ht="14.25" x14ac:dyDescent="0.2">
      <c r="A299" s="18"/>
      <c r="B299" s="18"/>
      <c r="C299" s="18" t="s">
        <v>537</v>
      </c>
      <c r="D299" s="19" t="s">
        <v>538</v>
      </c>
      <c r="E299" s="9">
        <f>Source!AT527</f>
        <v>70</v>
      </c>
      <c r="F299" s="21"/>
      <c r="G299" s="20"/>
      <c r="H299" s="9"/>
      <c r="I299" s="9"/>
      <c r="J299" s="21">
        <f>SUM(R295:R298)</f>
        <v>1490.3</v>
      </c>
      <c r="K299" s="21"/>
    </row>
    <row r="300" spans="1:22" ht="14.25" x14ac:dyDescent="0.2">
      <c r="A300" s="18"/>
      <c r="B300" s="18"/>
      <c r="C300" s="18" t="s">
        <v>539</v>
      </c>
      <c r="D300" s="19" t="s">
        <v>538</v>
      </c>
      <c r="E300" s="9">
        <f>Source!AU527</f>
        <v>10</v>
      </c>
      <c r="F300" s="21"/>
      <c r="G300" s="20"/>
      <c r="H300" s="9"/>
      <c r="I300" s="9"/>
      <c r="J300" s="21">
        <f>SUM(T295:T299)</f>
        <v>212.9</v>
      </c>
      <c r="K300" s="21"/>
    </row>
    <row r="301" spans="1:22" ht="14.25" x14ac:dyDescent="0.2">
      <c r="A301" s="18"/>
      <c r="B301" s="18"/>
      <c r="C301" s="18" t="s">
        <v>540</v>
      </c>
      <c r="D301" s="19" t="s">
        <v>541</v>
      </c>
      <c r="E301" s="9">
        <f>Source!AQ527</f>
        <v>0.3</v>
      </c>
      <c r="F301" s="21"/>
      <c r="G301" s="20" t="str">
        <f>Source!DI527</f>
        <v>)*2</v>
      </c>
      <c r="H301" s="9">
        <f>Source!AV527</f>
        <v>1</v>
      </c>
      <c r="I301" s="9"/>
      <c r="J301" s="21"/>
      <c r="K301" s="21">
        <f>Source!U527</f>
        <v>3</v>
      </c>
    </row>
    <row r="302" spans="1:22" ht="15" x14ac:dyDescent="0.25">
      <c r="A302" s="24"/>
      <c r="B302" s="24"/>
      <c r="C302" s="24"/>
      <c r="D302" s="24"/>
      <c r="E302" s="24"/>
      <c r="F302" s="24"/>
      <c r="G302" s="24"/>
      <c r="H302" s="24"/>
      <c r="I302" s="44">
        <f>J297+J298+J299+J300</f>
        <v>3877.5000000000005</v>
      </c>
      <c r="J302" s="44"/>
      <c r="K302" s="25">
        <f>IF(Source!I527&lt;&gt;0, ROUND(I302/Source!I527, 2), 0)</f>
        <v>775.5</v>
      </c>
      <c r="P302" s="23">
        <f>I302</f>
        <v>3877.5000000000005</v>
      </c>
    </row>
    <row r="303" spans="1:22" ht="42.75" x14ac:dyDescent="0.2">
      <c r="A303" s="18">
        <v>30</v>
      </c>
      <c r="B303" s="18" t="str">
        <f>Source!F529</f>
        <v>1.21-2303-49-1/1</v>
      </c>
      <c r="C303" s="18" t="str">
        <f>Source!G529</f>
        <v>Техническое обслуживание расцепителя напряжения независимого - полугодовое</v>
      </c>
      <c r="D303" s="19" t="str">
        <f>Source!H529</f>
        <v>шт.</v>
      </c>
      <c r="E303" s="9">
        <f>Source!I529</f>
        <v>2</v>
      </c>
      <c r="F303" s="21"/>
      <c r="G303" s="20"/>
      <c r="H303" s="9"/>
      <c r="I303" s="9"/>
      <c r="J303" s="21"/>
      <c r="K303" s="21"/>
      <c r="Q303">
        <f>ROUND((Source!BZ529/100)*ROUND((Source!AF529*Source!AV529)*Source!I529, 2), 2)</f>
        <v>125.93</v>
      </c>
      <c r="R303">
        <f>Source!X529</f>
        <v>125.93</v>
      </c>
      <c r="S303">
        <f>ROUND((Source!CA529/100)*ROUND((Source!AF529*Source!AV529)*Source!I529, 2), 2)</f>
        <v>17.989999999999998</v>
      </c>
      <c r="T303">
        <f>Source!Y529</f>
        <v>17.989999999999998</v>
      </c>
      <c r="U303">
        <f>ROUND((175/100)*ROUND((Source!AE529*Source!AV529)*Source!I529, 2), 2)</f>
        <v>0</v>
      </c>
      <c r="V303">
        <f>ROUND((108/100)*ROUND(Source!CS529*Source!I529, 2), 2)</f>
        <v>0</v>
      </c>
    </row>
    <row r="304" spans="1:22" ht="14.25" x14ac:dyDescent="0.2">
      <c r="A304" s="18"/>
      <c r="B304" s="18"/>
      <c r="C304" s="18" t="s">
        <v>536</v>
      </c>
      <c r="D304" s="19"/>
      <c r="E304" s="9"/>
      <c r="F304" s="21">
        <f>Source!AO529</f>
        <v>89.95</v>
      </c>
      <c r="G304" s="20" t="str">
        <f>Source!DG529</f>
        <v/>
      </c>
      <c r="H304" s="9">
        <f>Source!AV529</f>
        <v>1</v>
      </c>
      <c r="I304" s="9">
        <f>IF(Source!BA529&lt;&gt; 0, Source!BA529, 1)</f>
        <v>1</v>
      </c>
      <c r="J304" s="21">
        <f>Source!S529</f>
        <v>179.9</v>
      </c>
      <c r="K304" s="21"/>
    </row>
    <row r="305" spans="1:22" ht="14.25" x14ac:dyDescent="0.2">
      <c r="A305" s="18"/>
      <c r="B305" s="18"/>
      <c r="C305" s="18" t="s">
        <v>537</v>
      </c>
      <c r="D305" s="19" t="s">
        <v>538</v>
      </c>
      <c r="E305" s="9">
        <f>Source!AT529</f>
        <v>70</v>
      </c>
      <c r="F305" s="21"/>
      <c r="G305" s="20"/>
      <c r="H305" s="9"/>
      <c r="I305" s="9"/>
      <c r="J305" s="21">
        <f>SUM(R303:R304)</f>
        <v>125.93</v>
      </c>
      <c r="K305" s="21"/>
    </row>
    <row r="306" spans="1:22" ht="14.25" x14ac:dyDescent="0.2">
      <c r="A306" s="18"/>
      <c r="B306" s="18"/>
      <c r="C306" s="18" t="s">
        <v>539</v>
      </c>
      <c r="D306" s="19" t="s">
        <v>538</v>
      </c>
      <c r="E306" s="9">
        <f>Source!AU529</f>
        <v>10</v>
      </c>
      <c r="F306" s="21"/>
      <c r="G306" s="20"/>
      <c r="H306" s="9"/>
      <c r="I306" s="9"/>
      <c r="J306" s="21">
        <f>SUM(T303:T305)</f>
        <v>17.989999999999998</v>
      </c>
      <c r="K306" s="21"/>
    </row>
    <row r="307" spans="1:22" ht="14.25" x14ac:dyDescent="0.2">
      <c r="A307" s="18"/>
      <c r="B307" s="18"/>
      <c r="C307" s="18" t="s">
        <v>540</v>
      </c>
      <c r="D307" s="19" t="s">
        <v>541</v>
      </c>
      <c r="E307" s="9">
        <f>Source!AQ529</f>
        <v>0.16</v>
      </c>
      <c r="F307" s="21"/>
      <c r="G307" s="20" t="str">
        <f>Source!DI529</f>
        <v/>
      </c>
      <c r="H307" s="9">
        <f>Source!AV529</f>
        <v>1</v>
      </c>
      <c r="I307" s="9"/>
      <c r="J307" s="21"/>
      <c r="K307" s="21">
        <f>Source!U529</f>
        <v>0.32</v>
      </c>
    </row>
    <row r="308" spans="1:22" ht="15" x14ac:dyDescent="0.25">
      <c r="A308" s="24"/>
      <c r="B308" s="24"/>
      <c r="C308" s="24"/>
      <c r="D308" s="24"/>
      <c r="E308" s="24"/>
      <c r="F308" s="24"/>
      <c r="G308" s="24"/>
      <c r="H308" s="24"/>
      <c r="I308" s="44">
        <f>J304+J305+J306</f>
        <v>323.82000000000005</v>
      </c>
      <c r="J308" s="44"/>
      <c r="K308" s="25">
        <f>IF(Source!I529&lt;&gt;0, ROUND(I308/Source!I529, 2), 0)</f>
        <v>161.91</v>
      </c>
      <c r="P308" s="23">
        <f>I308</f>
        <v>323.82000000000005</v>
      </c>
    </row>
    <row r="309" spans="1:22" ht="42.75" x14ac:dyDescent="0.2">
      <c r="A309" s="18">
        <v>31</v>
      </c>
      <c r="B309" s="18" t="str">
        <f>Source!F530</f>
        <v>1.21-2303-28-1/1</v>
      </c>
      <c r="C309" s="18" t="str">
        <f>Source!G530</f>
        <v>Техническое обслуживание автоматического выключателя до 160 А</v>
      </c>
      <c r="D309" s="19" t="str">
        <f>Source!H530</f>
        <v>шт.</v>
      </c>
      <c r="E309" s="9">
        <f>Source!I530</f>
        <v>4</v>
      </c>
      <c r="F309" s="21"/>
      <c r="G309" s="20"/>
      <c r="H309" s="9"/>
      <c r="I309" s="9"/>
      <c r="J309" s="21"/>
      <c r="K309" s="21"/>
      <c r="Q309">
        <f>ROUND((Source!BZ530/100)*ROUND((Source!AF530*Source!AV530)*Source!I530, 2), 2)</f>
        <v>1192.24</v>
      </c>
      <c r="R309">
        <f>Source!X530</f>
        <v>1192.24</v>
      </c>
      <c r="S309">
        <f>ROUND((Source!CA530/100)*ROUND((Source!AF530*Source!AV530)*Source!I530, 2), 2)</f>
        <v>170.32</v>
      </c>
      <c r="T309">
        <f>Source!Y530</f>
        <v>170.32</v>
      </c>
      <c r="U309">
        <f>ROUND((175/100)*ROUND((Source!AE530*Source!AV530)*Source!I530, 2), 2)</f>
        <v>0</v>
      </c>
      <c r="V309">
        <f>ROUND((108/100)*ROUND(Source!CS530*Source!I530, 2), 2)</f>
        <v>0</v>
      </c>
    </row>
    <row r="310" spans="1:22" ht="14.25" x14ac:dyDescent="0.2">
      <c r="A310" s="18"/>
      <c r="B310" s="18"/>
      <c r="C310" s="18" t="s">
        <v>536</v>
      </c>
      <c r="D310" s="19"/>
      <c r="E310" s="9"/>
      <c r="F310" s="21">
        <f>Source!AO530</f>
        <v>212.9</v>
      </c>
      <c r="G310" s="20" t="str">
        <f>Source!DG530</f>
        <v>)*2</v>
      </c>
      <c r="H310" s="9">
        <f>Source!AV530</f>
        <v>1</v>
      </c>
      <c r="I310" s="9">
        <f>IF(Source!BA530&lt;&gt; 0, Source!BA530, 1)</f>
        <v>1</v>
      </c>
      <c r="J310" s="21">
        <f>Source!S530</f>
        <v>1703.2</v>
      </c>
      <c r="K310" s="21"/>
    </row>
    <row r="311" spans="1:22" ht="14.25" x14ac:dyDescent="0.2">
      <c r="A311" s="18"/>
      <c r="B311" s="18"/>
      <c r="C311" s="18" t="s">
        <v>544</v>
      </c>
      <c r="D311" s="19"/>
      <c r="E311" s="9"/>
      <c r="F311" s="21">
        <f>Source!AL530</f>
        <v>4.53</v>
      </c>
      <c r="G311" s="20" t="str">
        <f>Source!DD530</f>
        <v>)*2</v>
      </c>
      <c r="H311" s="9">
        <f>Source!AW530</f>
        <v>1</v>
      </c>
      <c r="I311" s="9">
        <f>IF(Source!BC530&lt;&gt; 0, Source!BC530, 1)</f>
        <v>1</v>
      </c>
      <c r="J311" s="21">
        <f>Source!P530</f>
        <v>36.24</v>
      </c>
      <c r="K311" s="21"/>
    </row>
    <row r="312" spans="1:22" ht="14.25" x14ac:dyDescent="0.2">
      <c r="A312" s="18"/>
      <c r="B312" s="18"/>
      <c r="C312" s="18" t="s">
        <v>537</v>
      </c>
      <c r="D312" s="19" t="s">
        <v>538</v>
      </c>
      <c r="E312" s="9">
        <f>Source!AT530</f>
        <v>70</v>
      </c>
      <c r="F312" s="21"/>
      <c r="G312" s="20"/>
      <c r="H312" s="9"/>
      <c r="I312" s="9"/>
      <c r="J312" s="21">
        <f>SUM(R309:R311)</f>
        <v>1192.24</v>
      </c>
      <c r="K312" s="21"/>
    </row>
    <row r="313" spans="1:22" ht="14.25" x14ac:dyDescent="0.2">
      <c r="A313" s="18"/>
      <c r="B313" s="18"/>
      <c r="C313" s="18" t="s">
        <v>539</v>
      </c>
      <c r="D313" s="19" t="s">
        <v>538</v>
      </c>
      <c r="E313" s="9">
        <f>Source!AU530</f>
        <v>10</v>
      </c>
      <c r="F313" s="21"/>
      <c r="G313" s="20"/>
      <c r="H313" s="9"/>
      <c r="I313" s="9"/>
      <c r="J313" s="21">
        <f>SUM(T309:T312)</f>
        <v>170.32</v>
      </c>
      <c r="K313" s="21"/>
    </row>
    <row r="314" spans="1:22" ht="14.25" x14ac:dyDescent="0.2">
      <c r="A314" s="18"/>
      <c r="B314" s="18"/>
      <c r="C314" s="18" t="s">
        <v>540</v>
      </c>
      <c r="D314" s="19" t="s">
        <v>541</v>
      </c>
      <c r="E314" s="9">
        <f>Source!AQ530</f>
        <v>0.3</v>
      </c>
      <c r="F314" s="21"/>
      <c r="G314" s="20" t="str">
        <f>Source!DI530</f>
        <v>)*2</v>
      </c>
      <c r="H314" s="9">
        <f>Source!AV530</f>
        <v>1</v>
      </c>
      <c r="I314" s="9"/>
      <c r="J314" s="21"/>
      <c r="K314" s="21">
        <f>Source!U530</f>
        <v>2.4</v>
      </c>
    </row>
    <row r="315" spans="1:22" ht="15" x14ac:dyDescent="0.25">
      <c r="A315" s="24"/>
      <c r="B315" s="24"/>
      <c r="C315" s="24"/>
      <c r="D315" s="24"/>
      <c r="E315" s="24"/>
      <c r="F315" s="24"/>
      <c r="G315" s="24"/>
      <c r="H315" s="24"/>
      <c r="I315" s="44">
        <f>J310+J311+J312+J313</f>
        <v>3102.0000000000005</v>
      </c>
      <c r="J315" s="44"/>
      <c r="K315" s="25">
        <f>IF(Source!I530&lt;&gt;0, ROUND(I315/Source!I530, 2), 0)</f>
        <v>775.5</v>
      </c>
      <c r="P315" s="23">
        <f>I315</f>
        <v>3102.0000000000005</v>
      </c>
    </row>
    <row r="316" spans="1:22" ht="42.75" x14ac:dyDescent="0.2">
      <c r="A316" s="18">
        <v>32</v>
      </c>
      <c r="B316" s="18" t="str">
        <f>Source!F532</f>
        <v>1.21-2303-28-1/1</v>
      </c>
      <c r="C316" s="18" t="str">
        <f>Source!G532</f>
        <v>Техническое обслуживание автоматического выключателя до 160 А</v>
      </c>
      <c r="D316" s="19" t="str">
        <f>Source!H532</f>
        <v>шт.</v>
      </c>
      <c r="E316" s="9">
        <f>Source!I532</f>
        <v>9</v>
      </c>
      <c r="F316" s="21"/>
      <c r="G316" s="20"/>
      <c r="H316" s="9"/>
      <c r="I316" s="9"/>
      <c r="J316" s="21"/>
      <c r="K316" s="21"/>
      <c r="Q316">
        <f>ROUND((Source!BZ532/100)*ROUND((Source!AF532*Source!AV532)*Source!I532, 2), 2)</f>
        <v>2682.54</v>
      </c>
      <c r="R316">
        <f>Source!X532</f>
        <v>2682.54</v>
      </c>
      <c r="S316">
        <f>ROUND((Source!CA532/100)*ROUND((Source!AF532*Source!AV532)*Source!I532, 2), 2)</f>
        <v>383.22</v>
      </c>
      <c r="T316">
        <f>Source!Y532</f>
        <v>383.22</v>
      </c>
      <c r="U316">
        <f>ROUND((175/100)*ROUND((Source!AE532*Source!AV532)*Source!I532, 2), 2)</f>
        <v>0</v>
      </c>
      <c r="V316">
        <f>ROUND((108/100)*ROUND(Source!CS532*Source!I532, 2), 2)</f>
        <v>0</v>
      </c>
    </row>
    <row r="317" spans="1:22" x14ac:dyDescent="0.2">
      <c r="C317" s="22" t="str">
        <f>"Объем: "&amp;Source!I532&amp;"=1+"&amp;"8"</f>
        <v>Объем: 9=1+8</v>
      </c>
    </row>
    <row r="318" spans="1:22" ht="14.25" x14ac:dyDescent="0.2">
      <c r="A318" s="18"/>
      <c r="B318" s="18"/>
      <c r="C318" s="18" t="s">
        <v>536</v>
      </c>
      <c r="D318" s="19"/>
      <c r="E318" s="9"/>
      <c r="F318" s="21">
        <f>Source!AO532</f>
        <v>212.9</v>
      </c>
      <c r="G318" s="20" t="str">
        <f>Source!DG532</f>
        <v>)*2</v>
      </c>
      <c r="H318" s="9">
        <f>Source!AV532</f>
        <v>1</v>
      </c>
      <c r="I318" s="9">
        <f>IF(Source!BA532&lt;&gt; 0, Source!BA532, 1)</f>
        <v>1</v>
      </c>
      <c r="J318" s="21">
        <f>Source!S532</f>
        <v>3832.2</v>
      </c>
      <c r="K318" s="21"/>
    </row>
    <row r="319" spans="1:22" ht="14.25" x14ac:dyDescent="0.2">
      <c r="A319" s="18"/>
      <c r="B319" s="18"/>
      <c r="C319" s="18" t="s">
        <v>544</v>
      </c>
      <c r="D319" s="19"/>
      <c r="E319" s="9"/>
      <c r="F319" s="21">
        <f>Source!AL532</f>
        <v>4.53</v>
      </c>
      <c r="G319" s="20" t="str">
        <f>Source!DD532</f>
        <v>)*2</v>
      </c>
      <c r="H319" s="9">
        <f>Source!AW532</f>
        <v>1</v>
      </c>
      <c r="I319" s="9">
        <f>IF(Source!BC532&lt;&gt; 0, Source!BC532, 1)</f>
        <v>1</v>
      </c>
      <c r="J319" s="21">
        <f>Source!P532</f>
        <v>81.540000000000006</v>
      </c>
      <c r="K319" s="21"/>
    </row>
    <row r="320" spans="1:22" ht="14.25" x14ac:dyDescent="0.2">
      <c r="A320" s="18"/>
      <c r="B320" s="18"/>
      <c r="C320" s="18" t="s">
        <v>537</v>
      </c>
      <c r="D320" s="19" t="s">
        <v>538</v>
      </c>
      <c r="E320" s="9">
        <f>Source!AT532</f>
        <v>70</v>
      </c>
      <c r="F320" s="21"/>
      <c r="G320" s="20"/>
      <c r="H320" s="9"/>
      <c r="I320" s="9"/>
      <c r="J320" s="21">
        <f>SUM(R316:R319)</f>
        <v>2682.54</v>
      </c>
      <c r="K320" s="21"/>
    </row>
    <row r="321" spans="1:22" ht="14.25" x14ac:dyDescent="0.2">
      <c r="A321" s="18"/>
      <c r="B321" s="18"/>
      <c r="C321" s="18" t="s">
        <v>539</v>
      </c>
      <c r="D321" s="19" t="s">
        <v>538</v>
      </c>
      <c r="E321" s="9">
        <f>Source!AU532</f>
        <v>10</v>
      </c>
      <c r="F321" s="21"/>
      <c r="G321" s="20"/>
      <c r="H321" s="9"/>
      <c r="I321" s="9"/>
      <c r="J321" s="21">
        <f>SUM(T316:T320)</f>
        <v>383.22</v>
      </c>
      <c r="K321" s="21"/>
    </row>
    <row r="322" spans="1:22" ht="14.25" x14ac:dyDescent="0.2">
      <c r="A322" s="18"/>
      <c r="B322" s="18"/>
      <c r="C322" s="18" t="s">
        <v>540</v>
      </c>
      <c r="D322" s="19" t="s">
        <v>541</v>
      </c>
      <c r="E322" s="9">
        <f>Source!AQ532</f>
        <v>0.3</v>
      </c>
      <c r="F322" s="21"/>
      <c r="G322" s="20" t="str">
        <f>Source!DI532</f>
        <v>)*2</v>
      </c>
      <c r="H322" s="9">
        <f>Source!AV532</f>
        <v>1</v>
      </c>
      <c r="I322" s="9"/>
      <c r="J322" s="21"/>
      <c r="K322" s="21">
        <f>Source!U532</f>
        <v>5.3999999999999995</v>
      </c>
    </row>
    <row r="323" spans="1:22" ht="15" x14ac:dyDescent="0.25">
      <c r="A323" s="24"/>
      <c r="B323" s="24"/>
      <c r="C323" s="24"/>
      <c r="D323" s="24"/>
      <c r="E323" s="24"/>
      <c r="F323" s="24"/>
      <c r="G323" s="24"/>
      <c r="H323" s="24"/>
      <c r="I323" s="44">
        <f>J318+J319+J320+J321</f>
        <v>6979.5</v>
      </c>
      <c r="J323" s="44"/>
      <c r="K323" s="25">
        <f>IF(Source!I532&lt;&gt;0, ROUND(I323/Source!I532, 2), 0)</f>
        <v>775.5</v>
      </c>
      <c r="P323" s="23">
        <f>I323</f>
        <v>6979.5</v>
      </c>
    </row>
    <row r="324" spans="1:22" ht="114" x14ac:dyDescent="0.2">
      <c r="A324" s="18">
        <v>33</v>
      </c>
      <c r="B324" s="18" t="str">
        <f>Source!F533</f>
        <v>1.23-2303-5-1/1</v>
      </c>
      <c r="C324" s="18" t="str">
        <f>Source!G533</f>
        <v>Комплекс работ по техническому обслуживанию оборудования, автоматизированных систем и исполнительных механизмов - шкафы, пульты управления, автоматизированные рабочие места/Шкаф управления TM AWADA в сборе</v>
      </c>
      <c r="D324" s="19" t="str">
        <f>Source!H533</f>
        <v>шт.</v>
      </c>
      <c r="E324" s="9">
        <f>Source!I533</f>
        <v>6</v>
      </c>
      <c r="F324" s="21"/>
      <c r="G324" s="20"/>
      <c r="H324" s="9"/>
      <c r="I324" s="9"/>
      <c r="J324" s="21"/>
      <c r="K324" s="21"/>
      <c r="Q324">
        <f>ROUND((Source!BZ533/100)*ROUND((Source!AF533*Source!AV533)*Source!I533, 2), 2)</f>
        <v>6852.22</v>
      </c>
      <c r="R324">
        <f>Source!X533</f>
        <v>6852.22</v>
      </c>
      <c r="S324">
        <f>ROUND((Source!CA533/100)*ROUND((Source!AF533*Source!AV533)*Source!I533, 2), 2)</f>
        <v>978.89</v>
      </c>
      <c r="T324">
        <f>Source!Y533</f>
        <v>978.89</v>
      </c>
      <c r="U324">
        <f>ROUND((175/100)*ROUND((Source!AE533*Source!AV533)*Source!I533, 2), 2)</f>
        <v>0</v>
      </c>
      <c r="V324">
        <f>ROUND((108/100)*ROUND(Source!CS533*Source!I533, 2), 2)</f>
        <v>0</v>
      </c>
    </row>
    <row r="325" spans="1:22" x14ac:dyDescent="0.2">
      <c r="C325" s="22" t="str">
        <f>"Объем: "&amp;Source!I533&amp;"=1+"&amp;"5"</f>
        <v>Объем: 6=1+5</v>
      </c>
    </row>
    <row r="326" spans="1:22" ht="14.25" x14ac:dyDescent="0.2">
      <c r="A326" s="18"/>
      <c r="B326" s="18"/>
      <c r="C326" s="18" t="s">
        <v>536</v>
      </c>
      <c r="D326" s="19"/>
      <c r="E326" s="9"/>
      <c r="F326" s="21">
        <f>Source!AO533</f>
        <v>815.74</v>
      </c>
      <c r="G326" s="20" t="str">
        <f>Source!DG533</f>
        <v>)*2</v>
      </c>
      <c r="H326" s="9">
        <f>Source!AV533</f>
        <v>1</v>
      </c>
      <c r="I326" s="9">
        <f>IF(Source!BA533&lt;&gt; 0, Source!BA533, 1)</f>
        <v>1</v>
      </c>
      <c r="J326" s="21">
        <f>Source!S533</f>
        <v>9788.8799999999992</v>
      </c>
      <c r="K326" s="21"/>
    </row>
    <row r="327" spans="1:22" ht="14.25" x14ac:dyDescent="0.2">
      <c r="A327" s="18"/>
      <c r="B327" s="18"/>
      <c r="C327" s="18" t="s">
        <v>537</v>
      </c>
      <c r="D327" s="19" t="s">
        <v>538</v>
      </c>
      <c r="E327" s="9">
        <f>Source!AT533</f>
        <v>70</v>
      </c>
      <c r="F327" s="21"/>
      <c r="G327" s="20"/>
      <c r="H327" s="9"/>
      <c r="I327" s="9"/>
      <c r="J327" s="21">
        <f>SUM(R324:R326)</f>
        <v>6852.22</v>
      </c>
      <c r="K327" s="21"/>
    </row>
    <row r="328" spans="1:22" ht="14.25" x14ac:dyDescent="0.2">
      <c r="A328" s="18"/>
      <c r="B328" s="18"/>
      <c r="C328" s="18" t="s">
        <v>539</v>
      </c>
      <c r="D328" s="19" t="s">
        <v>538</v>
      </c>
      <c r="E328" s="9">
        <f>Source!AU533</f>
        <v>10</v>
      </c>
      <c r="F328" s="21"/>
      <c r="G328" s="20"/>
      <c r="H328" s="9"/>
      <c r="I328" s="9"/>
      <c r="J328" s="21">
        <f>SUM(T324:T327)</f>
        <v>978.89</v>
      </c>
      <c r="K328" s="21"/>
    </row>
    <row r="329" spans="1:22" ht="14.25" x14ac:dyDescent="0.2">
      <c r="A329" s="18"/>
      <c r="B329" s="18"/>
      <c r="C329" s="18" t="s">
        <v>540</v>
      </c>
      <c r="D329" s="19" t="s">
        <v>541</v>
      </c>
      <c r="E329" s="9">
        <f>Source!AQ533</f>
        <v>1.06</v>
      </c>
      <c r="F329" s="21"/>
      <c r="G329" s="20" t="str">
        <f>Source!DI533</f>
        <v>)*2</v>
      </c>
      <c r="H329" s="9">
        <f>Source!AV533</f>
        <v>1</v>
      </c>
      <c r="I329" s="9"/>
      <c r="J329" s="21"/>
      <c r="K329" s="21">
        <f>Source!U533</f>
        <v>12.72</v>
      </c>
    </row>
    <row r="330" spans="1:22" ht="15" x14ac:dyDescent="0.25">
      <c r="A330" s="24"/>
      <c r="B330" s="24"/>
      <c r="C330" s="24"/>
      <c r="D330" s="24"/>
      <c r="E330" s="24"/>
      <c r="F330" s="24"/>
      <c r="G330" s="24"/>
      <c r="H330" s="24"/>
      <c r="I330" s="44">
        <f>J326+J327+J328</f>
        <v>17619.989999999998</v>
      </c>
      <c r="J330" s="44"/>
      <c r="K330" s="25">
        <f>IF(Source!I533&lt;&gt;0, ROUND(I330/Source!I533, 2), 0)</f>
        <v>2936.67</v>
      </c>
      <c r="P330" s="23">
        <f>I330</f>
        <v>17619.989999999998</v>
      </c>
    </row>
    <row r="332" spans="1:22" ht="15" x14ac:dyDescent="0.25">
      <c r="A332" s="43" t="str">
        <f>CONCATENATE("Итого по подразделу: ",IF(Source!G535&lt;&gt;"Новый подраздел", Source!G535, ""))</f>
        <v>Итого по подразделу: Оборудование</v>
      </c>
      <c r="B332" s="43"/>
      <c r="C332" s="43"/>
      <c r="D332" s="43"/>
      <c r="E332" s="43"/>
      <c r="F332" s="43"/>
      <c r="G332" s="43"/>
      <c r="H332" s="43"/>
      <c r="I332" s="41">
        <f>SUM(P184:P331)</f>
        <v>88041.319999999978</v>
      </c>
      <c r="J332" s="42"/>
      <c r="K332" s="27"/>
    </row>
    <row r="335" spans="1:22" ht="16.5" x14ac:dyDescent="0.25">
      <c r="A335" s="45" t="str">
        <f>CONCATENATE("Подраздел: ",IF(Source!G565&lt;&gt;"Новый подраздел", Source!G565, ""))</f>
        <v>Подраздел: Осветительная арматура</v>
      </c>
      <c r="B335" s="45"/>
      <c r="C335" s="45"/>
      <c r="D335" s="45"/>
      <c r="E335" s="45"/>
      <c r="F335" s="45"/>
      <c r="G335" s="45"/>
      <c r="H335" s="45"/>
      <c r="I335" s="45"/>
      <c r="J335" s="45"/>
      <c r="K335" s="45"/>
    </row>
    <row r="336" spans="1:22" ht="207.75" x14ac:dyDescent="0.2">
      <c r="A336" s="18">
        <v>34</v>
      </c>
      <c r="B336" s="18" t="s">
        <v>546</v>
      </c>
      <c r="C336" s="18" t="s">
        <v>547</v>
      </c>
      <c r="D336" s="19" t="str">
        <f>Source!H569</f>
        <v>шт.</v>
      </c>
      <c r="E336" s="9">
        <f>Source!I569</f>
        <v>270</v>
      </c>
      <c r="F336" s="21"/>
      <c r="G336" s="20"/>
      <c r="H336" s="9"/>
      <c r="I336" s="9"/>
      <c r="J336" s="21"/>
      <c r="K336" s="21"/>
      <c r="Q336">
        <f>ROUND((Source!BZ569/100)*ROUND((Source!AF569*Source!AV569)*Source!I569, 2), 2)</f>
        <v>19889.91</v>
      </c>
      <c r="R336">
        <f>Source!X569</f>
        <v>19889.91</v>
      </c>
      <c r="S336">
        <f>ROUND((Source!CA569/100)*ROUND((Source!AF569*Source!AV569)*Source!I569, 2), 2)</f>
        <v>2841.42</v>
      </c>
      <c r="T336">
        <f>Source!Y569</f>
        <v>2841.42</v>
      </c>
      <c r="U336">
        <f>ROUND((175/100)*ROUND((Source!AE569*Source!AV569)*Source!I569, 2), 2)</f>
        <v>0</v>
      </c>
      <c r="V336">
        <f>ROUND((108/100)*ROUND(Source!CS569*Source!I569, 2), 2)</f>
        <v>0</v>
      </c>
    </row>
    <row r="337" spans="1:22" ht="14.25" x14ac:dyDescent="0.2">
      <c r="A337" s="18"/>
      <c r="B337" s="18"/>
      <c r="C337" s="18" t="s">
        <v>536</v>
      </c>
      <c r="D337" s="19"/>
      <c r="E337" s="9"/>
      <c r="F337" s="21">
        <f>Source!AO569</f>
        <v>101.19</v>
      </c>
      <c r="G337" s="20" t="str">
        <f>Source!DG569</f>
        <v>*1,04</v>
      </c>
      <c r="H337" s="9">
        <f>Source!AV569</f>
        <v>1</v>
      </c>
      <c r="I337" s="9">
        <f>IF(Source!BA569&lt;&gt; 0, Source!BA569, 1)</f>
        <v>1</v>
      </c>
      <c r="J337" s="21">
        <f>Source!S569</f>
        <v>28414.15</v>
      </c>
      <c r="K337" s="21"/>
    </row>
    <row r="338" spans="1:22" ht="14.25" x14ac:dyDescent="0.2">
      <c r="A338" s="18"/>
      <c r="B338" s="18"/>
      <c r="C338" s="18" t="s">
        <v>544</v>
      </c>
      <c r="D338" s="19"/>
      <c r="E338" s="9"/>
      <c r="F338" s="21">
        <f>Source!AL569</f>
        <v>1.26</v>
      </c>
      <c r="G338" s="20" t="str">
        <f>Source!DD569</f>
        <v/>
      </c>
      <c r="H338" s="9">
        <f>Source!AW569</f>
        <v>1</v>
      </c>
      <c r="I338" s="9">
        <f>IF(Source!BC569&lt;&gt; 0, Source!BC569, 1)</f>
        <v>1</v>
      </c>
      <c r="J338" s="21">
        <f>Source!P569</f>
        <v>340.2</v>
      </c>
      <c r="K338" s="21"/>
    </row>
    <row r="339" spans="1:22" ht="14.25" x14ac:dyDescent="0.2">
      <c r="A339" s="18"/>
      <c r="B339" s="18"/>
      <c r="C339" s="18" t="s">
        <v>537</v>
      </c>
      <c r="D339" s="19" t="s">
        <v>538</v>
      </c>
      <c r="E339" s="9">
        <f>Source!AT569</f>
        <v>70</v>
      </c>
      <c r="F339" s="21"/>
      <c r="G339" s="20"/>
      <c r="H339" s="9"/>
      <c r="I339" s="9"/>
      <c r="J339" s="21">
        <f>SUM(R336:R338)</f>
        <v>19889.91</v>
      </c>
      <c r="K339" s="21"/>
    </row>
    <row r="340" spans="1:22" ht="14.25" x14ac:dyDescent="0.2">
      <c r="A340" s="18"/>
      <c r="B340" s="18"/>
      <c r="C340" s="18" t="s">
        <v>539</v>
      </c>
      <c r="D340" s="19" t="s">
        <v>538</v>
      </c>
      <c r="E340" s="9">
        <f>Source!AU569</f>
        <v>10</v>
      </c>
      <c r="F340" s="21"/>
      <c r="G340" s="20"/>
      <c r="H340" s="9"/>
      <c r="I340" s="9"/>
      <c r="J340" s="21">
        <f>SUM(T336:T339)</f>
        <v>2841.42</v>
      </c>
      <c r="K340" s="21"/>
    </row>
    <row r="341" spans="1:22" ht="14.25" x14ac:dyDescent="0.2">
      <c r="A341" s="18"/>
      <c r="B341" s="18"/>
      <c r="C341" s="18" t="s">
        <v>540</v>
      </c>
      <c r="D341" s="19" t="s">
        <v>541</v>
      </c>
      <c r="E341" s="9">
        <f>Source!AQ569</f>
        <v>0.18</v>
      </c>
      <c r="F341" s="21"/>
      <c r="G341" s="20" t="str">
        <f>Source!DI569</f>
        <v>*1,04</v>
      </c>
      <c r="H341" s="9">
        <f>Source!AV569</f>
        <v>1</v>
      </c>
      <c r="I341" s="9"/>
      <c r="J341" s="21"/>
      <c r="K341" s="21">
        <f>Source!U569</f>
        <v>50.544000000000004</v>
      </c>
    </row>
    <row r="342" spans="1:22" ht="15" x14ac:dyDescent="0.25">
      <c r="A342" s="24"/>
      <c r="B342" s="24"/>
      <c r="C342" s="24"/>
      <c r="D342" s="24"/>
      <c r="E342" s="24"/>
      <c r="F342" s="24"/>
      <c r="G342" s="24"/>
      <c r="H342" s="24"/>
      <c r="I342" s="44">
        <f>J337+J338+J339+J340</f>
        <v>51485.68</v>
      </c>
      <c r="J342" s="44"/>
      <c r="K342" s="25">
        <f>IF(Source!I569&lt;&gt;0, ROUND(I342/Source!I569, 2), 0)</f>
        <v>190.69</v>
      </c>
      <c r="P342" s="23">
        <f>I342</f>
        <v>51485.68</v>
      </c>
    </row>
    <row r="343" spans="1:22" ht="222" x14ac:dyDescent="0.2">
      <c r="A343" s="18">
        <v>35</v>
      </c>
      <c r="B343" s="18" t="s">
        <v>548</v>
      </c>
      <c r="C343" s="18" t="s">
        <v>549</v>
      </c>
      <c r="D343" s="19" t="str">
        <f>Source!H570</f>
        <v>шт.</v>
      </c>
      <c r="E343" s="9">
        <f>Source!I570</f>
        <v>12</v>
      </c>
      <c r="F343" s="21"/>
      <c r="G343" s="20"/>
      <c r="H343" s="9"/>
      <c r="I343" s="9"/>
      <c r="J343" s="21"/>
      <c r="K343" s="21"/>
      <c r="Q343">
        <f>ROUND((Source!BZ570/100)*ROUND((Source!AF570*Source!AV570)*Source!I570, 2), 2)</f>
        <v>884</v>
      </c>
      <c r="R343">
        <f>Source!X570</f>
        <v>884</v>
      </c>
      <c r="S343">
        <f>ROUND((Source!CA570/100)*ROUND((Source!AF570*Source!AV570)*Source!I570, 2), 2)</f>
        <v>126.29</v>
      </c>
      <c r="T343">
        <f>Source!Y570</f>
        <v>126.29</v>
      </c>
      <c r="U343">
        <f>ROUND((175/100)*ROUND((Source!AE570*Source!AV570)*Source!I570, 2), 2)</f>
        <v>0</v>
      </c>
      <c r="V343">
        <f>ROUND((108/100)*ROUND(Source!CS570*Source!I570, 2), 2)</f>
        <v>0</v>
      </c>
    </row>
    <row r="344" spans="1:22" x14ac:dyDescent="0.2">
      <c r="C344" s="22" t="str">
        <f>"Объем: "&amp;Source!I570&amp;"=10+"&amp;"2"</f>
        <v>Объем: 12=10+2</v>
      </c>
    </row>
    <row r="345" spans="1:22" ht="14.25" x14ac:dyDescent="0.2">
      <c r="A345" s="18"/>
      <c r="B345" s="18"/>
      <c r="C345" s="18" t="s">
        <v>536</v>
      </c>
      <c r="D345" s="19"/>
      <c r="E345" s="9"/>
      <c r="F345" s="21">
        <f>Source!AO570</f>
        <v>101.19</v>
      </c>
      <c r="G345" s="20" t="str">
        <f>Source!DG570</f>
        <v>*1,04</v>
      </c>
      <c r="H345" s="9">
        <f>Source!AV570</f>
        <v>1</v>
      </c>
      <c r="I345" s="9">
        <f>IF(Source!BA570&lt;&gt; 0, Source!BA570, 1)</f>
        <v>1</v>
      </c>
      <c r="J345" s="21">
        <f>Source!S570</f>
        <v>1262.8499999999999</v>
      </c>
      <c r="K345" s="21"/>
    </row>
    <row r="346" spans="1:22" ht="14.25" x14ac:dyDescent="0.2">
      <c r="A346" s="18"/>
      <c r="B346" s="18"/>
      <c r="C346" s="18" t="s">
        <v>544</v>
      </c>
      <c r="D346" s="19"/>
      <c r="E346" s="9"/>
      <c r="F346" s="21">
        <f>Source!AL570</f>
        <v>1.57</v>
      </c>
      <c r="G346" s="20" t="str">
        <f>Source!DD570</f>
        <v/>
      </c>
      <c r="H346" s="9">
        <f>Source!AW570</f>
        <v>1</v>
      </c>
      <c r="I346" s="9">
        <f>IF(Source!BC570&lt;&gt; 0, Source!BC570, 1)</f>
        <v>1</v>
      </c>
      <c r="J346" s="21">
        <f>Source!P570</f>
        <v>18.84</v>
      </c>
      <c r="K346" s="21"/>
    </row>
    <row r="347" spans="1:22" ht="14.25" x14ac:dyDescent="0.2">
      <c r="A347" s="18"/>
      <c r="B347" s="18"/>
      <c r="C347" s="18" t="s">
        <v>537</v>
      </c>
      <c r="D347" s="19" t="s">
        <v>538</v>
      </c>
      <c r="E347" s="9">
        <f>Source!AT570</f>
        <v>70</v>
      </c>
      <c r="F347" s="21"/>
      <c r="G347" s="20"/>
      <c r="H347" s="9"/>
      <c r="I347" s="9"/>
      <c r="J347" s="21">
        <f>SUM(R343:R346)</f>
        <v>884</v>
      </c>
      <c r="K347" s="21"/>
    </row>
    <row r="348" spans="1:22" ht="14.25" x14ac:dyDescent="0.2">
      <c r="A348" s="18"/>
      <c r="B348" s="18"/>
      <c r="C348" s="18" t="s">
        <v>539</v>
      </c>
      <c r="D348" s="19" t="s">
        <v>538</v>
      </c>
      <c r="E348" s="9">
        <f>Source!AU570</f>
        <v>10</v>
      </c>
      <c r="F348" s="21"/>
      <c r="G348" s="20"/>
      <c r="H348" s="9"/>
      <c r="I348" s="9"/>
      <c r="J348" s="21">
        <f>SUM(T343:T347)</f>
        <v>126.29</v>
      </c>
      <c r="K348" s="21"/>
    </row>
    <row r="349" spans="1:22" ht="14.25" x14ac:dyDescent="0.2">
      <c r="A349" s="18"/>
      <c r="B349" s="18"/>
      <c r="C349" s="18" t="s">
        <v>540</v>
      </c>
      <c r="D349" s="19" t="s">
        <v>541</v>
      </c>
      <c r="E349" s="9">
        <f>Source!AQ570</f>
        <v>0.18</v>
      </c>
      <c r="F349" s="21"/>
      <c r="G349" s="20" t="str">
        <f>Source!DI570</f>
        <v>*1,04</v>
      </c>
      <c r="H349" s="9">
        <f>Source!AV570</f>
        <v>1</v>
      </c>
      <c r="I349" s="9"/>
      <c r="J349" s="21"/>
      <c r="K349" s="21">
        <f>Source!U570</f>
        <v>2.2464</v>
      </c>
    </row>
    <row r="350" spans="1:22" ht="15" x14ac:dyDescent="0.25">
      <c r="A350" s="24"/>
      <c r="B350" s="24"/>
      <c r="C350" s="24"/>
      <c r="D350" s="24"/>
      <c r="E350" s="24"/>
      <c r="F350" s="24"/>
      <c r="G350" s="24"/>
      <c r="H350" s="24"/>
      <c r="I350" s="44">
        <f>J345+J346+J347+J348</f>
        <v>2291.9799999999996</v>
      </c>
      <c r="J350" s="44"/>
      <c r="K350" s="25">
        <f>IF(Source!I570&lt;&gt;0, ROUND(I350/Source!I570, 2), 0)</f>
        <v>191</v>
      </c>
      <c r="P350" s="23">
        <f>I350</f>
        <v>2291.9799999999996</v>
      </c>
    </row>
    <row r="351" spans="1:22" ht="71.25" x14ac:dyDescent="0.2">
      <c r="A351" s="18">
        <v>36</v>
      </c>
      <c r="B351" s="18" t="str">
        <f>Source!F571</f>
        <v>1.20-2103-20-1/1</v>
      </c>
      <c r="C351" s="18" t="str">
        <f>Source!G571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351" s="19" t="str">
        <f>Source!H571</f>
        <v>шт.</v>
      </c>
      <c r="E351" s="9">
        <f>Source!I571</f>
        <v>30</v>
      </c>
      <c r="F351" s="21"/>
      <c r="G351" s="20"/>
      <c r="H351" s="9"/>
      <c r="I351" s="9"/>
      <c r="J351" s="21"/>
      <c r="K351" s="21"/>
      <c r="Q351">
        <f>ROUND((Source!BZ571/100)*ROUND((Source!AF571*Source!AV571)*Source!I571, 2), 2)</f>
        <v>12277.44</v>
      </c>
      <c r="R351">
        <f>Source!X571</f>
        <v>12277.44</v>
      </c>
      <c r="S351">
        <f>ROUND((Source!CA571/100)*ROUND((Source!AF571*Source!AV571)*Source!I571, 2), 2)</f>
        <v>1753.92</v>
      </c>
      <c r="T351">
        <f>Source!Y571</f>
        <v>1753.92</v>
      </c>
      <c r="U351">
        <f>ROUND((175/100)*ROUND((Source!AE571*Source!AV571)*Source!I571, 2), 2)</f>
        <v>0</v>
      </c>
      <c r="V351">
        <f>ROUND((108/100)*ROUND(Source!CS571*Source!I571, 2), 2)</f>
        <v>0</v>
      </c>
    </row>
    <row r="352" spans="1:22" x14ac:dyDescent="0.2">
      <c r="C352" s="22" t="str">
        <f>"Объем: "&amp;Source!I571&amp;"=18+"&amp;"12"</f>
        <v>Объем: 30=18+12</v>
      </c>
    </row>
    <row r="353" spans="1:22" ht="14.25" x14ac:dyDescent="0.2">
      <c r="A353" s="18"/>
      <c r="B353" s="18"/>
      <c r="C353" s="18" t="s">
        <v>536</v>
      </c>
      <c r="D353" s="19"/>
      <c r="E353" s="9"/>
      <c r="F353" s="21">
        <f>Source!AO571</f>
        <v>146.16</v>
      </c>
      <c r="G353" s="20" t="str">
        <f>Source!DG571</f>
        <v>)*4</v>
      </c>
      <c r="H353" s="9">
        <f>Source!AV571</f>
        <v>1</v>
      </c>
      <c r="I353" s="9">
        <f>IF(Source!BA571&lt;&gt; 0, Source!BA571, 1)</f>
        <v>1</v>
      </c>
      <c r="J353" s="21">
        <f>Source!S571</f>
        <v>17539.2</v>
      </c>
      <c r="K353" s="21"/>
    </row>
    <row r="354" spans="1:22" ht="14.25" x14ac:dyDescent="0.2">
      <c r="A354" s="18"/>
      <c r="B354" s="18"/>
      <c r="C354" s="18" t="s">
        <v>544</v>
      </c>
      <c r="D354" s="19"/>
      <c r="E354" s="9"/>
      <c r="F354" s="21">
        <f>Source!AL571</f>
        <v>1.26</v>
      </c>
      <c r="G354" s="20" t="str">
        <f>Source!DD571</f>
        <v>)*4</v>
      </c>
      <c r="H354" s="9">
        <f>Source!AW571</f>
        <v>1</v>
      </c>
      <c r="I354" s="9">
        <f>IF(Source!BC571&lt;&gt; 0, Source!BC571, 1)</f>
        <v>1</v>
      </c>
      <c r="J354" s="21">
        <f>Source!P571</f>
        <v>151.19999999999999</v>
      </c>
      <c r="K354" s="21"/>
    </row>
    <row r="355" spans="1:22" ht="14.25" x14ac:dyDescent="0.2">
      <c r="A355" s="18"/>
      <c r="B355" s="18"/>
      <c r="C355" s="18" t="s">
        <v>537</v>
      </c>
      <c r="D355" s="19" t="s">
        <v>538</v>
      </c>
      <c r="E355" s="9">
        <f>Source!AT571</f>
        <v>70</v>
      </c>
      <c r="F355" s="21"/>
      <c r="G355" s="20"/>
      <c r="H355" s="9"/>
      <c r="I355" s="9"/>
      <c r="J355" s="21">
        <f>SUM(R351:R354)</f>
        <v>12277.44</v>
      </c>
      <c r="K355" s="21"/>
    </row>
    <row r="356" spans="1:22" ht="14.25" x14ac:dyDescent="0.2">
      <c r="A356" s="18"/>
      <c r="B356" s="18"/>
      <c r="C356" s="18" t="s">
        <v>539</v>
      </c>
      <c r="D356" s="19" t="s">
        <v>538</v>
      </c>
      <c r="E356" s="9">
        <f>Source!AU571</f>
        <v>10</v>
      </c>
      <c r="F356" s="21"/>
      <c r="G356" s="20"/>
      <c r="H356" s="9"/>
      <c r="I356" s="9"/>
      <c r="J356" s="21">
        <f>SUM(T351:T355)</f>
        <v>1753.92</v>
      </c>
      <c r="K356" s="21"/>
    </row>
    <row r="357" spans="1:22" ht="14.25" x14ac:dyDescent="0.2">
      <c r="A357" s="18"/>
      <c r="B357" s="18"/>
      <c r="C357" s="18" t="s">
        <v>540</v>
      </c>
      <c r="D357" s="19" t="s">
        <v>541</v>
      </c>
      <c r="E357" s="9">
        <f>Source!AQ571</f>
        <v>0.26</v>
      </c>
      <c r="F357" s="21"/>
      <c r="G357" s="20" t="str">
        <f>Source!DI571</f>
        <v>)*4</v>
      </c>
      <c r="H357" s="9">
        <f>Source!AV571</f>
        <v>1</v>
      </c>
      <c r="I357" s="9"/>
      <c r="J357" s="21"/>
      <c r="K357" s="21">
        <f>Source!U571</f>
        <v>31.200000000000003</v>
      </c>
    </row>
    <row r="358" spans="1:22" ht="15" x14ac:dyDescent="0.25">
      <c r="A358" s="24"/>
      <c r="B358" s="24"/>
      <c r="C358" s="24"/>
      <c r="D358" s="24"/>
      <c r="E358" s="24"/>
      <c r="F358" s="24"/>
      <c r="G358" s="24"/>
      <c r="H358" s="24"/>
      <c r="I358" s="44">
        <f>J353+J354+J355+J356</f>
        <v>31721.760000000002</v>
      </c>
      <c r="J358" s="44"/>
      <c r="K358" s="25">
        <f>IF(Source!I571&lt;&gt;0, ROUND(I358/Source!I571, 2), 0)</f>
        <v>1057.3900000000001</v>
      </c>
      <c r="P358" s="23">
        <f>I358</f>
        <v>31721.760000000002</v>
      </c>
    </row>
    <row r="359" spans="1:22" ht="165" x14ac:dyDescent="0.2">
      <c r="A359" s="18">
        <v>37</v>
      </c>
      <c r="B359" s="18" t="s">
        <v>550</v>
      </c>
      <c r="C359" s="18" t="s">
        <v>551</v>
      </c>
      <c r="D359" s="19" t="str">
        <f>Source!H572</f>
        <v>шт.</v>
      </c>
      <c r="E359" s="9">
        <f>Source!I572</f>
        <v>51</v>
      </c>
      <c r="F359" s="21"/>
      <c r="G359" s="20"/>
      <c r="H359" s="9"/>
      <c r="I359" s="9"/>
      <c r="J359" s="21"/>
      <c r="K359" s="21"/>
      <c r="Q359">
        <f>ROUND((Source!BZ572/100)*ROUND((Source!AF572*Source!AV572)*Source!I572, 2), 2)</f>
        <v>7513.97</v>
      </c>
      <c r="R359">
        <f>Source!X572</f>
        <v>7513.97</v>
      </c>
      <c r="S359">
        <f>ROUND((Source!CA572/100)*ROUND((Source!AF572*Source!AV572)*Source!I572, 2), 2)</f>
        <v>1073.42</v>
      </c>
      <c r="T359">
        <f>Source!Y572</f>
        <v>1073.42</v>
      </c>
      <c r="U359">
        <f>ROUND((175/100)*ROUND((Source!AE572*Source!AV572)*Source!I572, 2), 2)</f>
        <v>0</v>
      </c>
      <c r="V359">
        <f>ROUND((108/100)*ROUND(Source!CS572*Source!I572, 2), 2)</f>
        <v>0</v>
      </c>
    </row>
    <row r="360" spans="1:22" ht="14.25" x14ac:dyDescent="0.2">
      <c r="A360" s="18"/>
      <c r="B360" s="18"/>
      <c r="C360" s="18" t="s">
        <v>536</v>
      </c>
      <c r="D360" s="19"/>
      <c r="E360" s="9"/>
      <c r="F360" s="21">
        <f>Source!AO572</f>
        <v>202.38</v>
      </c>
      <c r="G360" s="20" t="str">
        <f>Source!DG572</f>
        <v>)*1,04</v>
      </c>
      <c r="H360" s="9">
        <f>Source!AV572</f>
        <v>1</v>
      </c>
      <c r="I360" s="9">
        <f>IF(Source!BA572&lt;&gt; 0, Source!BA572, 1)</f>
        <v>1</v>
      </c>
      <c r="J360" s="21">
        <f>Source!S572</f>
        <v>10734.24</v>
      </c>
      <c r="K360" s="21"/>
    </row>
    <row r="361" spans="1:22" ht="14.25" x14ac:dyDescent="0.2">
      <c r="A361" s="18"/>
      <c r="B361" s="18"/>
      <c r="C361" s="18" t="s">
        <v>544</v>
      </c>
      <c r="D361" s="19"/>
      <c r="E361" s="9"/>
      <c r="F361" s="21">
        <f>Source!AL572</f>
        <v>9.58</v>
      </c>
      <c r="G361" s="20" t="str">
        <f>Source!DD572</f>
        <v/>
      </c>
      <c r="H361" s="9">
        <f>Source!AW572</f>
        <v>1</v>
      </c>
      <c r="I361" s="9">
        <f>IF(Source!BC572&lt;&gt; 0, Source!BC572, 1)</f>
        <v>1</v>
      </c>
      <c r="J361" s="21">
        <f>Source!P572</f>
        <v>488.58</v>
      </c>
      <c r="K361" s="21"/>
    </row>
    <row r="362" spans="1:22" ht="14.25" x14ac:dyDescent="0.2">
      <c r="A362" s="18"/>
      <c r="B362" s="18"/>
      <c r="C362" s="18" t="s">
        <v>537</v>
      </c>
      <c r="D362" s="19" t="s">
        <v>538</v>
      </c>
      <c r="E362" s="9">
        <f>Source!AT572</f>
        <v>70</v>
      </c>
      <c r="F362" s="21"/>
      <c r="G362" s="20"/>
      <c r="H362" s="9"/>
      <c r="I362" s="9"/>
      <c r="J362" s="21">
        <f>SUM(R359:R361)</f>
        <v>7513.97</v>
      </c>
      <c r="K362" s="21"/>
    </row>
    <row r="363" spans="1:22" ht="14.25" x14ac:dyDescent="0.2">
      <c r="A363" s="18"/>
      <c r="B363" s="18"/>
      <c r="C363" s="18" t="s">
        <v>539</v>
      </c>
      <c r="D363" s="19" t="s">
        <v>538</v>
      </c>
      <c r="E363" s="9">
        <f>Source!AU572</f>
        <v>10</v>
      </c>
      <c r="F363" s="21"/>
      <c r="G363" s="20"/>
      <c r="H363" s="9"/>
      <c r="I363" s="9"/>
      <c r="J363" s="21">
        <f>SUM(T359:T362)</f>
        <v>1073.42</v>
      </c>
      <c r="K363" s="21"/>
    </row>
    <row r="364" spans="1:22" ht="14.25" x14ac:dyDescent="0.2">
      <c r="A364" s="18"/>
      <c r="B364" s="18"/>
      <c r="C364" s="18" t="s">
        <v>540</v>
      </c>
      <c r="D364" s="19" t="s">
        <v>541</v>
      </c>
      <c r="E364" s="9">
        <f>Source!AQ572</f>
        <v>0.36</v>
      </c>
      <c r="F364" s="21"/>
      <c r="G364" s="20" t="str">
        <f>Source!DI572</f>
        <v>)*1,04</v>
      </c>
      <c r="H364" s="9">
        <f>Source!AV572</f>
        <v>1</v>
      </c>
      <c r="I364" s="9"/>
      <c r="J364" s="21"/>
      <c r="K364" s="21">
        <f>Source!U572</f>
        <v>19.0944</v>
      </c>
    </row>
    <row r="365" spans="1:22" ht="15" x14ac:dyDescent="0.25">
      <c r="A365" s="24"/>
      <c r="B365" s="24"/>
      <c r="C365" s="24"/>
      <c r="D365" s="24"/>
      <c r="E365" s="24"/>
      <c r="F365" s="24"/>
      <c r="G365" s="24"/>
      <c r="H365" s="24"/>
      <c r="I365" s="44">
        <f>J360+J361+J362+J363</f>
        <v>19810.21</v>
      </c>
      <c r="J365" s="44"/>
      <c r="K365" s="25">
        <f>IF(Source!I572&lt;&gt;0, ROUND(I365/Source!I572, 2), 0)</f>
        <v>388.44</v>
      </c>
      <c r="P365" s="23">
        <f>I365</f>
        <v>19810.21</v>
      </c>
    </row>
    <row r="366" spans="1:22" ht="236.25" x14ac:dyDescent="0.2">
      <c r="A366" s="18">
        <v>38</v>
      </c>
      <c r="B366" s="18" t="s">
        <v>546</v>
      </c>
      <c r="C366" s="18" t="s">
        <v>552</v>
      </c>
      <c r="D366" s="19" t="str">
        <f>Source!H573</f>
        <v>шт.</v>
      </c>
      <c r="E366" s="9">
        <f>Source!I573</f>
        <v>880</v>
      </c>
      <c r="F366" s="21"/>
      <c r="G366" s="20"/>
      <c r="H366" s="9"/>
      <c r="I366" s="9"/>
      <c r="J366" s="21"/>
      <c r="K366" s="21"/>
      <c r="Q366">
        <f>ROUND((Source!BZ573/100)*ROUND((Source!AF573*Source!AV573)*Source!I573, 2), 2)</f>
        <v>64826.36</v>
      </c>
      <c r="R366">
        <f>Source!X573</f>
        <v>64826.36</v>
      </c>
      <c r="S366">
        <f>ROUND((Source!CA573/100)*ROUND((Source!AF573*Source!AV573)*Source!I573, 2), 2)</f>
        <v>9260.91</v>
      </c>
      <c r="T366">
        <f>Source!Y573</f>
        <v>9260.91</v>
      </c>
      <c r="U366">
        <f>ROUND((175/100)*ROUND((Source!AE573*Source!AV573)*Source!I573, 2), 2)</f>
        <v>0</v>
      </c>
      <c r="V366">
        <f>ROUND((108/100)*ROUND(Source!CS573*Source!I573, 2), 2)</f>
        <v>0</v>
      </c>
    </row>
    <row r="367" spans="1:22" x14ac:dyDescent="0.2">
      <c r="C367" s="22" t="str">
        <f>"Объем: "&amp;Source!I573&amp;"=684+"&amp;"196"</f>
        <v>Объем: 880=684+196</v>
      </c>
    </row>
    <row r="368" spans="1:22" ht="14.25" x14ac:dyDescent="0.2">
      <c r="A368" s="18"/>
      <c r="B368" s="18"/>
      <c r="C368" s="18" t="s">
        <v>536</v>
      </c>
      <c r="D368" s="19"/>
      <c r="E368" s="9"/>
      <c r="F368" s="21">
        <f>Source!AO573</f>
        <v>101.19</v>
      </c>
      <c r="G368" s="20" t="str">
        <f>Source!DG573</f>
        <v>*1,04</v>
      </c>
      <c r="H368" s="9">
        <f>Source!AV573</f>
        <v>1</v>
      </c>
      <c r="I368" s="9">
        <f>IF(Source!BA573&lt;&gt; 0, Source!BA573, 1)</f>
        <v>1</v>
      </c>
      <c r="J368" s="21">
        <f>Source!S573</f>
        <v>92609.09</v>
      </c>
      <c r="K368" s="21"/>
    </row>
    <row r="369" spans="1:22" ht="14.25" x14ac:dyDescent="0.2">
      <c r="A369" s="18"/>
      <c r="B369" s="18"/>
      <c r="C369" s="18" t="s">
        <v>544</v>
      </c>
      <c r="D369" s="19"/>
      <c r="E369" s="9"/>
      <c r="F369" s="21">
        <f>Source!AL573</f>
        <v>1.26</v>
      </c>
      <c r="G369" s="20" t="str">
        <f>Source!DD573</f>
        <v/>
      </c>
      <c r="H369" s="9">
        <f>Source!AW573</f>
        <v>1</v>
      </c>
      <c r="I369" s="9">
        <f>IF(Source!BC573&lt;&gt; 0, Source!BC573, 1)</f>
        <v>1</v>
      </c>
      <c r="J369" s="21">
        <f>Source!P573</f>
        <v>1108.8</v>
      </c>
      <c r="K369" s="21"/>
    </row>
    <row r="370" spans="1:22" ht="14.25" x14ac:dyDescent="0.2">
      <c r="A370" s="18"/>
      <c r="B370" s="18"/>
      <c r="C370" s="18" t="s">
        <v>537</v>
      </c>
      <c r="D370" s="19" t="s">
        <v>538</v>
      </c>
      <c r="E370" s="9">
        <f>Source!AT573</f>
        <v>70</v>
      </c>
      <c r="F370" s="21"/>
      <c r="G370" s="20"/>
      <c r="H370" s="9"/>
      <c r="I370" s="9"/>
      <c r="J370" s="21">
        <f>SUM(R366:R369)</f>
        <v>64826.36</v>
      </c>
      <c r="K370" s="21"/>
    </row>
    <row r="371" spans="1:22" ht="14.25" x14ac:dyDescent="0.2">
      <c r="A371" s="18"/>
      <c r="B371" s="18"/>
      <c r="C371" s="18" t="s">
        <v>539</v>
      </c>
      <c r="D371" s="19" t="s">
        <v>538</v>
      </c>
      <c r="E371" s="9">
        <f>Source!AU573</f>
        <v>10</v>
      </c>
      <c r="F371" s="21"/>
      <c r="G371" s="20"/>
      <c r="H371" s="9"/>
      <c r="I371" s="9"/>
      <c r="J371" s="21">
        <f>SUM(T366:T370)</f>
        <v>9260.91</v>
      </c>
      <c r="K371" s="21"/>
    </row>
    <row r="372" spans="1:22" ht="14.25" x14ac:dyDescent="0.2">
      <c r="A372" s="18"/>
      <c r="B372" s="18"/>
      <c r="C372" s="18" t="s">
        <v>540</v>
      </c>
      <c r="D372" s="19" t="s">
        <v>541</v>
      </c>
      <c r="E372" s="9">
        <f>Source!AQ573</f>
        <v>0.18</v>
      </c>
      <c r="F372" s="21"/>
      <c r="G372" s="20" t="str">
        <f>Source!DI573</f>
        <v>*1,04</v>
      </c>
      <c r="H372" s="9">
        <f>Source!AV573</f>
        <v>1</v>
      </c>
      <c r="I372" s="9"/>
      <c r="J372" s="21"/>
      <c r="K372" s="21">
        <f>Source!U573</f>
        <v>164.73600000000002</v>
      </c>
    </row>
    <row r="373" spans="1:22" ht="15" x14ac:dyDescent="0.25">
      <c r="A373" s="24"/>
      <c r="B373" s="24"/>
      <c r="C373" s="24"/>
      <c r="D373" s="24"/>
      <c r="E373" s="24"/>
      <c r="F373" s="24"/>
      <c r="G373" s="24"/>
      <c r="H373" s="24"/>
      <c r="I373" s="44">
        <f>J368+J369+J370+J371</f>
        <v>167805.16</v>
      </c>
      <c r="J373" s="44"/>
      <c r="K373" s="25">
        <f>IF(Source!I573&lt;&gt;0, ROUND(I373/Source!I573, 2), 0)</f>
        <v>190.69</v>
      </c>
      <c r="P373" s="23">
        <f>I373</f>
        <v>167805.16</v>
      </c>
    </row>
    <row r="374" spans="1:22" ht="28.5" x14ac:dyDescent="0.2">
      <c r="A374" s="18">
        <v>39</v>
      </c>
      <c r="B374" s="18" t="str">
        <f>Source!F575</f>
        <v>3.1-2303-6-1/1</v>
      </c>
      <c r="C374" s="18" t="str">
        <f>Source!G575</f>
        <v>Техническое обслуживание монитора/ Сенсорная панель AWADA 15,6"</v>
      </c>
      <c r="D374" s="19" t="str">
        <f>Source!H575</f>
        <v>шт.</v>
      </c>
      <c r="E374" s="9">
        <f>Source!I575</f>
        <v>1</v>
      </c>
      <c r="F374" s="21"/>
      <c r="G374" s="20"/>
      <c r="H374" s="9"/>
      <c r="I374" s="9"/>
      <c r="J374" s="21"/>
      <c r="K374" s="21"/>
      <c r="Q374">
        <f>ROUND((Source!BZ575/100)*ROUND((Source!AF575*Source!AV575)*Source!I575, 2), 2)</f>
        <v>904.11</v>
      </c>
      <c r="R374">
        <f>Source!X575</f>
        <v>904.11</v>
      </c>
      <c r="S374">
        <f>ROUND((Source!CA575/100)*ROUND((Source!AF575*Source!AV575)*Source!I575, 2), 2)</f>
        <v>129.16</v>
      </c>
      <c r="T374">
        <f>Source!Y575</f>
        <v>129.16</v>
      </c>
      <c r="U374">
        <f>ROUND((175/100)*ROUND((Source!AE575*Source!AV575)*Source!I575, 2), 2)</f>
        <v>144.59</v>
      </c>
      <c r="V374">
        <f>ROUND((108/100)*ROUND(Source!CS575*Source!I575, 2), 2)</f>
        <v>89.23</v>
      </c>
    </row>
    <row r="375" spans="1:22" ht="14.25" x14ac:dyDescent="0.2">
      <c r="A375" s="18"/>
      <c r="B375" s="18"/>
      <c r="C375" s="18" t="s">
        <v>536</v>
      </c>
      <c r="D375" s="19"/>
      <c r="E375" s="9"/>
      <c r="F375" s="21">
        <f>Source!AO575</f>
        <v>1291.58</v>
      </c>
      <c r="G375" s="20" t="str">
        <f>Source!DG575</f>
        <v/>
      </c>
      <c r="H375" s="9">
        <f>Source!AV575</f>
        <v>1</v>
      </c>
      <c r="I375" s="9">
        <f>IF(Source!BA575&lt;&gt; 0, Source!BA575, 1)</f>
        <v>1</v>
      </c>
      <c r="J375" s="21">
        <f>Source!S575</f>
        <v>1291.58</v>
      </c>
      <c r="K375" s="21"/>
    </row>
    <row r="376" spans="1:22" ht="14.25" x14ac:dyDescent="0.2">
      <c r="A376" s="18"/>
      <c r="B376" s="18"/>
      <c r="C376" s="18" t="s">
        <v>542</v>
      </c>
      <c r="D376" s="19"/>
      <c r="E376" s="9"/>
      <c r="F376" s="21">
        <f>Source!AM575</f>
        <v>130.30000000000001</v>
      </c>
      <c r="G376" s="20" t="str">
        <f>Source!DE575</f>
        <v/>
      </c>
      <c r="H376" s="9">
        <f>Source!AV575</f>
        <v>1</v>
      </c>
      <c r="I376" s="9">
        <f>IF(Source!BB575&lt;&gt; 0, Source!BB575, 1)</f>
        <v>1</v>
      </c>
      <c r="J376" s="21">
        <f>Source!Q575</f>
        <v>130.30000000000001</v>
      </c>
      <c r="K376" s="21"/>
    </row>
    <row r="377" spans="1:22" ht="14.25" x14ac:dyDescent="0.2">
      <c r="A377" s="18"/>
      <c r="B377" s="18"/>
      <c r="C377" s="18" t="s">
        <v>543</v>
      </c>
      <c r="D377" s="19"/>
      <c r="E377" s="9"/>
      <c r="F377" s="21">
        <f>Source!AN575</f>
        <v>82.62</v>
      </c>
      <c r="G377" s="20" t="str">
        <f>Source!DF575</f>
        <v/>
      </c>
      <c r="H377" s="9">
        <f>Source!AV575</f>
        <v>1</v>
      </c>
      <c r="I377" s="9">
        <f>IF(Source!BS575&lt;&gt; 0, Source!BS575, 1)</f>
        <v>1</v>
      </c>
      <c r="J377" s="26">
        <f>Source!R575</f>
        <v>82.62</v>
      </c>
      <c r="K377" s="21"/>
    </row>
    <row r="378" spans="1:22" ht="14.25" x14ac:dyDescent="0.2">
      <c r="A378" s="18"/>
      <c r="B378" s="18"/>
      <c r="C378" s="18" t="s">
        <v>544</v>
      </c>
      <c r="D378" s="19"/>
      <c r="E378" s="9"/>
      <c r="F378" s="21">
        <f>Source!AL575</f>
        <v>3.06</v>
      </c>
      <c r="G378" s="20" t="str">
        <f>Source!DD575</f>
        <v/>
      </c>
      <c r="H378" s="9">
        <f>Source!AW575</f>
        <v>1</v>
      </c>
      <c r="I378" s="9">
        <f>IF(Source!BC575&lt;&gt; 0, Source!BC575, 1)</f>
        <v>1</v>
      </c>
      <c r="J378" s="21">
        <f>Source!P575</f>
        <v>3.06</v>
      </c>
      <c r="K378" s="21"/>
    </row>
    <row r="379" spans="1:22" ht="14.25" x14ac:dyDescent="0.2">
      <c r="A379" s="18"/>
      <c r="B379" s="18"/>
      <c r="C379" s="18" t="s">
        <v>537</v>
      </c>
      <c r="D379" s="19" t="s">
        <v>538</v>
      </c>
      <c r="E379" s="9">
        <f>Source!AT575</f>
        <v>70</v>
      </c>
      <c r="F379" s="21"/>
      <c r="G379" s="20"/>
      <c r="H379" s="9"/>
      <c r="I379" s="9"/>
      <c r="J379" s="21">
        <f>SUM(R374:R378)</f>
        <v>904.11</v>
      </c>
      <c r="K379" s="21"/>
    </row>
    <row r="380" spans="1:22" ht="14.25" x14ac:dyDescent="0.2">
      <c r="A380" s="18"/>
      <c r="B380" s="18"/>
      <c r="C380" s="18" t="s">
        <v>539</v>
      </c>
      <c r="D380" s="19" t="s">
        <v>538</v>
      </c>
      <c r="E380" s="9">
        <f>Source!AU575</f>
        <v>10</v>
      </c>
      <c r="F380" s="21"/>
      <c r="G380" s="20"/>
      <c r="H380" s="9"/>
      <c r="I380" s="9"/>
      <c r="J380" s="21">
        <f>SUM(T374:T379)</f>
        <v>129.16</v>
      </c>
      <c r="K380" s="21"/>
    </row>
    <row r="381" spans="1:22" ht="14.25" x14ac:dyDescent="0.2">
      <c r="A381" s="18"/>
      <c r="B381" s="18"/>
      <c r="C381" s="18" t="s">
        <v>545</v>
      </c>
      <c r="D381" s="19" t="s">
        <v>538</v>
      </c>
      <c r="E381" s="9">
        <f>108</f>
        <v>108</v>
      </c>
      <c r="F381" s="21"/>
      <c r="G381" s="20"/>
      <c r="H381" s="9"/>
      <c r="I381" s="9"/>
      <c r="J381" s="21">
        <f>SUM(V374:V380)</f>
        <v>89.23</v>
      </c>
      <c r="K381" s="21"/>
    </row>
    <row r="382" spans="1:22" ht="14.25" x14ac:dyDescent="0.2">
      <c r="A382" s="18"/>
      <c r="B382" s="18"/>
      <c r="C382" s="18" t="s">
        <v>540</v>
      </c>
      <c r="D382" s="19" t="s">
        <v>541</v>
      </c>
      <c r="E382" s="9">
        <f>Source!AQ575</f>
        <v>1.82</v>
      </c>
      <c r="F382" s="21"/>
      <c r="G382" s="20" t="str">
        <f>Source!DI575</f>
        <v/>
      </c>
      <c r="H382" s="9">
        <f>Source!AV575</f>
        <v>1</v>
      </c>
      <c r="I382" s="9"/>
      <c r="J382" s="21"/>
      <c r="K382" s="21">
        <f>Source!U575</f>
        <v>1.82</v>
      </c>
    </row>
    <row r="383" spans="1:22" ht="15" x14ac:dyDescent="0.25">
      <c r="A383" s="24"/>
      <c r="B383" s="24"/>
      <c r="C383" s="24"/>
      <c r="D383" s="24"/>
      <c r="E383" s="24"/>
      <c r="F383" s="24"/>
      <c r="G383" s="24"/>
      <c r="H383" s="24"/>
      <c r="I383" s="44">
        <f>J375+J376+J378+J379+J380+J381</f>
        <v>2547.4399999999996</v>
      </c>
      <c r="J383" s="44"/>
      <c r="K383" s="25">
        <f>IF(Source!I575&lt;&gt;0, ROUND(I383/Source!I575, 2), 0)</f>
        <v>2547.44</v>
      </c>
      <c r="P383" s="23">
        <f>I383</f>
        <v>2547.4399999999996</v>
      </c>
    </row>
    <row r="385" spans="1:22" ht="15" x14ac:dyDescent="0.25">
      <c r="A385" s="43" t="str">
        <f>CONCATENATE("Итого по подразделу: ",IF(Source!G577&lt;&gt;"Новый подраздел", Source!G577, ""))</f>
        <v>Итого по подразделу: Осветительная арматура</v>
      </c>
      <c r="B385" s="43"/>
      <c r="C385" s="43"/>
      <c r="D385" s="43"/>
      <c r="E385" s="43"/>
      <c r="F385" s="43"/>
      <c r="G385" s="43"/>
      <c r="H385" s="43"/>
      <c r="I385" s="41">
        <f>SUM(P335:P384)</f>
        <v>275662.23000000004</v>
      </c>
      <c r="J385" s="42"/>
      <c r="K385" s="27"/>
    </row>
    <row r="388" spans="1:22" ht="16.5" x14ac:dyDescent="0.25">
      <c r="A388" s="45" t="str">
        <f>CONCATENATE("Подраздел: ",IF(Source!G607&lt;&gt;"Новый подраздел", Source!G607, ""))</f>
        <v>Подраздел: Электроустановочные изделия</v>
      </c>
      <c r="B388" s="45"/>
      <c r="C388" s="45"/>
      <c r="D388" s="45"/>
      <c r="E388" s="45"/>
      <c r="F388" s="45"/>
      <c r="G388" s="45"/>
      <c r="H388" s="45"/>
      <c r="I388" s="45"/>
      <c r="J388" s="45"/>
      <c r="K388" s="45"/>
    </row>
    <row r="389" spans="1:22" ht="85.5" x14ac:dyDescent="0.2">
      <c r="A389" s="18">
        <v>40</v>
      </c>
      <c r="B389" s="18" t="str">
        <f>Source!F611</f>
        <v>1.23-2103-6-1/1</v>
      </c>
      <c r="C389" s="18" t="str">
        <f>Source!G611</f>
        <v>Техническое обслуживание выключателей поплавковых /Выключатель одноклавишный IP20 10А 250В винтовые зажимы накладной монтаж - чёрный матовый Legrand Quteo</v>
      </c>
      <c r="D389" s="19" t="str">
        <f>Source!H611</f>
        <v>100 шт.</v>
      </c>
      <c r="E389" s="9">
        <f>Source!I611</f>
        <v>0.17</v>
      </c>
      <c r="F389" s="21"/>
      <c r="G389" s="20"/>
      <c r="H389" s="9"/>
      <c r="I389" s="9"/>
      <c r="J389" s="21"/>
      <c r="K389" s="21"/>
      <c r="Q389">
        <f>ROUND((Source!BZ611/100)*ROUND((Source!AF611*Source!AV611)*Source!I611, 2), 2)</f>
        <v>1528.86</v>
      </c>
      <c r="R389">
        <f>Source!X611</f>
        <v>1528.86</v>
      </c>
      <c r="S389">
        <f>ROUND((Source!CA611/100)*ROUND((Source!AF611*Source!AV611)*Source!I611, 2), 2)</f>
        <v>218.41</v>
      </c>
      <c r="T389">
        <f>Source!Y611</f>
        <v>218.41</v>
      </c>
      <c r="U389">
        <f>ROUND((175/100)*ROUND((Source!AE611*Source!AV611)*Source!I611, 2), 2)</f>
        <v>688.22</v>
      </c>
      <c r="V389">
        <f>ROUND((108/100)*ROUND(Source!CS611*Source!I611, 2), 2)</f>
        <v>424.73</v>
      </c>
    </row>
    <row r="390" spans="1:22" x14ac:dyDescent="0.2">
      <c r="C390" s="22" t="str">
        <f>"Объем: "&amp;Source!I611&amp;"=(17)/"&amp;"100"</f>
        <v>Объем: 0,17=(17)/100</v>
      </c>
    </row>
    <row r="391" spans="1:22" ht="14.25" x14ac:dyDescent="0.2">
      <c r="A391" s="18"/>
      <c r="B391" s="18"/>
      <c r="C391" s="18" t="s">
        <v>536</v>
      </c>
      <c r="D391" s="19"/>
      <c r="E391" s="9"/>
      <c r="F391" s="21">
        <f>Source!AO611</f>
        <v>3211.89</v>
      </c>
      <c r="G391" s="20" t="str">
        <f>Source!DG611</f>
        <v>*4</v>
      </c>
      <c r="H391" s="9">
        <f>Source!AV611</f>
        <v>1</v>
      </c>
      <c r="I391" s="9">
        <f>IF(Source!BA611&lt;&gt; 0, Source!BA611, 1)</f>
        <v>1</v>
      </c>
      <c r="J391" s="21">
        <f>Source!S611</f>
        <v>2184.09</v>
      </c>
      <c r="K391" s="21"/>
    </row>
    <row r="392" spans="1:22" ht="14.25" x14ac:dyDescent="0.2">
      <c r="A392" s="18"/>
      <c r="B392" s="18"/>
      <c r="C392" s="18" t="s">
        <v>542</v>
      </c>
      <c r="D392" s="19"/>
      <c r="E392" s="9"/>
      <c r="F392" s="21">
        <f>Source!AM611</f>
        <v>912.11</v>
      </c>
      <c r="G392" s="20" t="str">
        <f>Source!DE611</f>
        <v>*4</v>
      </c>
      <c r="H392" s="9">
        <f>Source!AV611</f>
        <v>1</v>
      </c>
      <c r="I392" s="9">
        <f>IF(Source!BB611&lt;&gt; 0, Source!BB611, 1)</f>
        <v>1</v>
      </c>
      <c r="J392" s="21">
        <f>Source!Q611</f>
        <v>620.23</v>
      </c>
      <c r="K392" s="21"/>
    </row>
    <row r="393" spans="1:22" ht="14.25" x14ac:dyDescent="0.2">
      <c r="A393" s="18"/>
      <c r="B393" s="18"/>
      <c r="C393" s="18" t="s">
        <v>543</v>
      </c>
      <c r="D393" s="19"/>
      <c r="E393" s="9"/>
      <c r="F393" s="21">
        <f>Source!AN611</f>
        <v>578.34</v>
      </c>
      <c r="G393" s="20" t="str">
        <f>Source!DF611</f>
        <v>*4</v>
      </c>
      <c r="H393" s="9">
        <f>Source!AV611</f>
        <v>1</v>
      </c>
      <c r="I393" s="9">
        <f>IF(Source!BS611&lt;&gt; 0, Source!BS611, 1)</f>
        <v>1</v>
      </c>
      <c r="J393" s="26">
        <f>Source!R611</f>
        <v>393.27</v>
      </c>
      <c r="K393" s="21"/>
    </row>
    <row r="394" spans="1:22" ht="14.25" x14ac:dyDescent="0.2">
      <c r="A394" s="18"/>
      <c r="B394" s="18"/>
      <c r="C394" s="18" t="s">
        <v>544</v>
      </c>
      <c r="D394" s="19"/>
      <c r="E394" s="9"/>
      <c r="F394" s="21">
        <f>Source!AL611</f>
        <v>0.94</v>
      </c>
      <c r="G394" s="20" t="str">
        <f>Source!DD611</f>
        <v>*4</v>
      </c>
      <c r="H394" s="9">
        <f>Source!AW611</f>
        <v>1</v>
      </c>
      <c r="I394" s="9">
        <f>IF(Source!BC611&lt;&gt; 0, Source!BC611, 1)</f>
        <v>1</v>
      </c>
      <c r="J394" s="21">
        <f>Source!P611</f>
        <v>0.64</v>
      </c>
      <c r="K394" s="21"/>
    </row>
    <row r="395" spans="1:22" ht="14.25" x14ac:dyDescent="0.2">
      <c r="A395" s="18"/>
      <c r="B395" s="18"/>
      <c r="C395" s="18" t="s">
        <v>537</v>
      </c>
      <c r="D395" s="19" t="s">
        <v>538</v>
      </c>
      <c r="E395" s="9">
        <f>Source!AT611</f>
        <v>70</v>
      </c>
      <c r="F395" s="21"/>
      <c r="G395" s="20"/>
      <c r="H395" s="9"/>
      <c r="I395" s="9"/>
      <c r="J395" s="21">
        <f>SUM(R389:R394)</f>
        <v>1528.86</v>
      </c>
      <c r="K395" s="21"/>
    </row>
    <row r="396" spans="1:22" ht="14.25" x14ac:dyDescent="0.2">
      <c r="A396" s="18"/>
      <c r="B396" s="18"/>
      <c r="C396" s="18" t="s">
        <v>539</v>
      </c>
      <c r="D396" s="19" t="s">
        <v>538</v>
      </c>
      <c r="E396" s="9">
        <f>Source!AU611</f>
        <v>10</v>
      </c>
      <c r="F396" s="21"/>
      <c r="G396" s="20"/>
      <c r="H396" s="9"/>
      <c r="I396" s="9"/>
      <c r="J396" s="21">
        <f>SUM(T389:T395)</f>
        <v>218.41</v>
      </c>
      <c r="K396" s="21"/>
    </row>
    <row r="397" spans="1:22" ht="14.25" x14ac:dyDescent="0.2">
      <c r="A397" s="18"/>
      <c r="B397" s="18"/>
      <c r="C397" s="18" t="s">
        <v>545</v>
      </c>
      <c r="D397" s="19" t="s">
        <v>538</v>
      </c>
      <c r="E397" s="9">
        <f>108</f>
        <v>108</v>
      </c>
      <c r="F397" s="21"/>
      <c r="G397" s="20"/>
      <c r="H397" s="9"/>
      <c r="I397" s="9"/>
      <c r="J397" s="21">
        <f>SUM(V389:V396)</f>
        <v>424.73</v>
      </c>
      <c r="K397" s="21"/>
    </row>
    <row r="398" spans="1:22" ht="14.25" x14ac:dyDescent="0.2">
      <c r="A398" s="18"/>
      <c r="B398" s="18"/>
      <c r="C398" s="18" t="s">
        <v>540</v>
      </c>
      <c r="D398" s="19" t="s">
        <v>541</v>
      </c>
      <c r="E398" s="9">
        <f>Source!AQ611</f>
        <v>6</v>
      </c>
      <c r="F398" s="21"/>
      <c r="G398" s="20" t="str">
        <f>Source!DI611</f>
        <v>*4</v>
      </c>
      <c r="H398" s="9">
        <f>Source!AV611</f>
        <v>1</v>
      </c>
      <c r="I398" s="9"/>
      <c r="J398" s="21"/>
      <c r="K398" s="21">
        <f>Source!U611</f>
        <v>4.08</v>
      </c>
    </row>
    <row r="399" spans="1:22" ht="15" x14ac:dyDescent="0.25">
      <c r="A399" s="24"/>
      <c r="B399" s="24"/>
      <c r="C399" s="24"/>
      <c r="D399" s="24"/>
      <c r="E399" s="24"/>
      <c r="F399" s="24"/>
      <c r="G399" s="24"/>
      <c r="H399" s="24"/>
      <c r="I399" s="44">
        <f>J391+J392+J394+J395+J396+J397</f>
        <v>4976.9599999999991</v>
      </c>
      <c r="J399" s="44"/>
      <c r="K399" s="25">
        <f>IF(Source!I611&lt;&gt;0, ROUND(I399/Source!I611, 2), 0)</f>
        <v>29276.240000000002</v>
      </c>
      <c r="P399" s="23">
        <f>I399</f>
        <v>4976.9599999999991</v>
      </c>
    </row>
    <row r="400" spans="1:22" ht="71.25" x14ac:dyDescent="0.2">
      <c r="A400" s="18">
        <v>41</v>
      </c>
      <c r="B400" s="18" t="str">
        <f>Source!F614</f>
        <v>1.21-2303-37-1/1</v>
      </c>
      <c r="C400" s="18" t="str">
        <f>Source!G614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400" s="19" t="str">
        <f>Source!H614</f>
        <v>10 шт.</v>
      </c>
      <c r="E400" s="9">
        <f>Source!I614</f>
        <v>3.1</v>
      </c>
      <c r="F400" s="21"/>
      <c r="G400" s="20"/>
      <c r="H400" s="9"/>
      <c r="I400" s="9"/>
      <c r="J400" s="21"/>
      <c r="K400" s="21"/>
      <c r="Q400">
        <f>ROUND((Source!BZ614/100)*ROUND((Source!AF614*Source!AV614)*Source!I614, 2), 2)</f>
        <v>241.2</v>
      </c>
      <c r="R400">
        <f>Source!X614</f>
        <v>241.2</v>
      </c>
      <c r="S400">
        <f>ROUND((Source!CA614/100)*ROUND((Source!AF614*Source!AV614)*Source!I614, 2), 2)</f>
        <v>34.46</v>
      </c>
      <c r="T400">
        <f>Source!Y614</f>
        <v>34.46</v>
      </c>
      <c r="U400">
        <f>ROUND((175/100)*ROUND((Source!AE614*Source!AV614)*Source!I614, 2), 2)</f>
        <v>0</v>
      </c>
      <c r="V400">
        <f>ROUND((108/100)*ROUND(Source!CS614*Source!I614, 2), 2)</f>
        <v>0</v>
      </c>
    </row>
    <row r="401" spans="1:22" x14ac:dyDescent="0.2">
      <c r="C401" s="22" t="str">
        <f>"Объем: "&amp;Source!I614&amp;"=(30+"&amp;"1)/"&amp;"10"</f>
        <v>Объем: 3,1=(30+1)/10</v>
      </c>
    </row>
    <row r="402" spans="1:22" ht="14.25" x14ac:dyDescent="0.2">
      <c r="A402" s="18"/>
      <c r="B402" s="18"/>
      <c r="C402" s="18" t="s">
        <v>536</v>
      </c>
      <c r="D402" s="19"/>
      <c r="E402" s="9"/>
      <c r="F402" s="21">
        <f>Source!AO614</f>
        <v>111.15</v>
      </c>
      <c r="G402" s="20" t="str">
        <f>Source!DG614</f>
        <v/>
      </c>
      <c r="H402" s="9">
        <f>Source!AV614</f>
        <v>1</v>
      </c>
      <c r="I402" s="9">
        <f>IF(Source!BA614&lt;&gt; 0, Source!BA614, 1)</f>
        <v>1</v>
      </c>
      <c r="J402" s="21">
        <f>Source!S614</f>
        <v>344.57</v>
      </c>
      <c r="K402" s="21"/>
    </row>
    <row r="403" spans="1:22" ht="14.25" x14ac:dyDescent="0.2">
      <c r="A403" s="18"/>
      <c r="B403" s="18"/>
      <c r="C403" s="18" t="s">
        <v>544</v>
      </c>
      <c r="D403" s="19"/>
      <c r="E403" s="9"/>
      <c r="F403" s="21">
        <f>Source!AL614</f>
        <v>6.3</v>
      </c>
      <c r="G403" s="20" t="str">
        <f>Source!DD614</f>
        <v/>
      </c>
      <c r="H403" s="9">
        <f>Source!AW614</f>
        <v>1</v>
      </c>
      <c r="I403" s="9">
        <f>IF(Source!BC614&lt;&gt; 0, Source!BC614, 1)</f>
        <v>1</v>
      </c>
      <c r="J403" s="21">
        <f>Source!P614</f>
        <v>19.53</v>
      </c>
      <c r="K403" s="21"/>
    </row>
    <row r="404" spans="1:22" ht="14.25" x14ac:dyDescent="0.2">
      <c r="A404" s="18"/>
      <c r="B404" s="18"/>
      <c r="C404" s="18" t="s">
        <v>537</v>
      </c>
      <c r="D404" s="19" t="s">
        <v>538</v>
      </c>
      <c r="E404" s="9">
        <f>Source!AT614</f>
        <v>70</v>
      </c>
      <c r="F404" s="21"/>
      <c r="G404" s="20"/>
      <c r="H404" s="9"/>
      <c r="I404" s="9"/>
      <c r="J404" s="21">
        <f>SUM(R400:R403)</f>
        <v>241.2</v>
      </c>
      <c r="K404" s="21"/>
    </row>
    <row r="405" spans="1:22" ht="14.25" x14ac:dyDescent="0.2">
      <c r="A405" s="18"/>
      <c r="B405" s="18"/>
      <c r="C405" s="18" t="s">
        <v>539</v>
      </c>
      <c r="D405" s="19" t="s">
        <v>538</v>
      </c>
      <c r="E405" s="9">
        <f>Source!AU614</f>
        <v>10</v>
      </c>
      <c r="F405" s="21"/>
      <c r="G405" s="20"/>
      <c r="H405" s="9"/>
      <c r="I405" s="9"/>
      <c r="J405" s="21">
        <f>SUM(T400:T404)</f>
        <v>34.46</v>
      </c>
      <c r="K405" s="21"/>
    </row>
    <row r="406" spans="1:22" ht="14.25" x14ac:dyDescent="0.2">
      <c r="A406" s="18"/>
      <c r="B406" s="18"/>
      <c r="C406" s="18" t="s">
        <v>540</v>
      </c>
      <c r="D406" s="19" t="s">
        <v>541</v>
      </c>
      <c r="E406" s="9">
        <f>Source!AQ614</f>
        <v>0.18</v>
      </c>
      <c r="F406" s="21"/>
      <c r="G406" s="20" t="str">
        <f>Source!DI614</f>
        <v/>
      </c>
      <c r="H406" s="9">
        <f>Source!AV614</f>
        <v>1</v>
      </c>
      <c r="I406" s="9"/>
      <c r="J406" s="21"/>
      <c r="K406" s="21">
        <f>Source!U614</f>
        <v>0.55799999999999994</v>
      </c>
    </row>
    <row r="407" spans="1:22" ht="15" x14ac:dyDescent="0.25">
      <c r="A407" s="24"/>
      <c r="B407" s="24"/>
      <c r="C407" s="24"/>
      <c r="D407" s="24"/>
      <c r="E407" s="24"/>
      <c r="F407" s="24"/>
      <c r="G407" s="24"/>
      <c r="H407" s="24"/>
      <c r="I407" s="44">
        <f>J402+J403+J404+J405</f>
        <v>639.76</v>
      </c>
      <c r="J407" s="44"/>
      <c r="K407" s="25">
        <f>IF(Source!I614&lt;&gt;0, ROUND(I407/Source!I614, 2), 0)</f>
        <v>206.37</v>
      </c>
      <c r="P407" s="23">
        <f>I407</f>
        <v>639.76</v>
      </c>
    </row>
    <row r="408" spans="1:22" ht="57" x14ac:dyDescent="0.2">
      <c r="A408" s="18">
        <v>42</v>
      </c>
      <c r="B408" s="18" t="str">
        <f>Source!F615</f>
        <v>1.21-2303-31-1/1</v>
      </c>
      <c r="C408" s="18" t="str">
        <f>Source!G615</f>
        <v>Техническое обслуживание коробки клеммной соединительной, с количеством клемм до 20 /PLEXO Коробка нар 180x140x86 IP55 с замк</v>
      </c>
      <c r="D408" s="19" t="str">
        <f>Source!H615</f>
        <v>шт.</v>
      </c>
      <c r="E408" s="9">
        <f>Source!I615</f>
        <v>1</v>
      </c>
      <c r="F408" s="21"/>
      <c r="G408" s="20"/>
      <c r="H408" s="9"/>
      <c r="I408" s="9"/>
      <c r="J408" s="21"/>
      <c r="K408" s="21"/>
      <c r="Q408">
        <f>ROUND((Source!BZ615/100)*ROUND((Source!AF615*Source!AV615)*Source!I615, 2), 2)</f>
        <v>414.95</v>
      </c>
      <c r="R408">
        <f>Source!X615</f>
        <v>414.95</v>
      </c>
      <c r="S408">
        <f>ROUND((Source!CA615/100)*ROUND((Source!AF615*Source!AV615)*Source!I615, 2), 2)</f>
        <v>59.28</v>
      </c>
      <c r="T408">
        <f>Source!Y615</f>
        <v>59.28</v>
      </c>
      <c r="U408">
        <f>ROUND((175/100)*ROUND((Source!AE615*Source!AV615)*Source!I615, 2), 2)</f>
        <v>0</v>
      </c>
      <c r="V408">
        <f>ROUND((108/100)*ROUND(Source!CS615*Source!I615, 2), 2)</f>
        <v>0</v>
      </c>
    </row>
    <row r="409" spans="1:22" ht="14.25" x14ac:dyDescent="0.2">
      <c r="A409" s="18"/>
      <c r="B409" s="18"/>
      <c r="C409" s="18" t="s">
        <v>536</v>
      </c>
      <c r="D409" s="19"/>
      <c r="E409" s="9"/>
      <c r="F409" s="21">
        <f>Source!AO615</f>
        <v>592.79</v>
      </c>
      <c r="G409" s="20" t="str">
        <f>Source!DG615</f>
        <v/>
      </c>
      <c r="H409" s="9">
        <f>Source!AV615</f>
        <v>1</v>
      </c>
      <c r="I409" s="9">
        <f>IF(Source!BA615&lt;&gt; 0, Source!BA615, 1)</f>
        <v>1</v>
      </c>
      <c r="J409" s="21">
        <f>Source!S615</f>
        <v>592.79</v>
      </c>
      <c r="K409" s="21"/>
    </row>
    <row r="410" spans="1:22" ht="14.25" x14ac:dyDescent="0.2">
      <c r="A410" s="18"/>
      <c r="B410" s="18"/>
      <c r="C410" s="18" t="s">
        <v>544</v>
      </c>
      <c r="D410" s="19"/>
      <c r="E410" s="9"/>
      <c r="F410" s="21">
        <f>Source!AL615</f>
        <v>6.02</v>
      </c>
      <c r="G410" s="20" t="str">
        <f>Source!DD615</f>
        <v/>
      </c>
      <c r="H410" s="9">
        <f>Source!AW615</f>
        <v>1</v>
      </c>
      <c r="I410" s="9">
        <f>IF(Source!BC615&lt;&gt; 0, Source!BC615, 1)</f>
        <v>1</v>
      </c>
      <c r="J410" s="21">
        <f>Source!P615</f>
        <v>6.02</v>
      </c>
      <c r="K410" s="21"/>
    </row>
    <row r="411" spans="1:22" ht="14.25" x14ac:dyDescent="0.2">
      <c r="A411" s="18"/>
      <c r="B411" s="18"/>
      <c r="C411" s="18" t="s">
        <v>537</v>
      </c>
      <c r="D411" s="19" t="s">
        <v>538</v>
      </c>
      <c r="E411" s="9">
        <f>Source!AT615</f>
        <v>70</v>
      </c>
      <c r="F411" s="21"/>
      <c r="G411" s="20"/>
      <c r="H411" s="9"/>
      <c r="I411" s="9"/>
      <c r="J411" s="21">
        <f>SUM(R408:R410)</f>
        <v>414.95</v>
      </c>
      <c r="K411" s="21"/>
    </row>
    <row r="412" spans="1:22" ht="14.25" x14ac:dyDescent="0.2">
      <c r="A412" s="18"/>
      <c r="B412" s="18"/>
      <c r="C412" s="18" t="s">
        <v>539</v>
      </c>
      <c r="D412" s="19" t="s">
        <v>538</v>
      </c>
      <c r="E412" s="9">
        <f>Source!AU615</f>
        <v>10</v>
      </c>
      <c r="F412" s="21"/>
      <c r="G412" s="20"/>
      <c r="H412" s="9"/>
      <c r="I412" s="9"/>
      <c r="J412" s="21">
        <f>SUM(T408:T411)</f>
        <v>59.28</v>
      </c>
      <c r="K412" s="21"/>
    </row>
    <row r="413" spans="1:22" ht="14.25" x14ac:dyDescent="0.2">
      <c r="A413" s="18"/>
      <c r="B413" s="18"/>
      <c r="C413" s="18" t="s">
        <v>540</v>
      </c>
      <c r="D413" s="19" t="s">
        <v>541</v>
      </c>
      <c r="E413" s="9">
        <f>Source!AQ615</f>
        <v>0.96</v>
      </c>
      <c r="F413" s="21"/>
      <c r="G413" s="20" t="str">
        <f>Source!DI615</f>
        <v/>
      </c>
      <c r="H413" s="9">
        <f>Source!AV615</f>
        <v>1</v>
      </c>
      <c r="I413" s="9"/>
      <c r="J413" s="21"/>
      <c r="K413" s="21">
        <f>Source!U615</f>
        <v>0.96</v>
      </c>
    </row>
    <row r="414" spans="1:22" ht="15" x14ac:dyDescent="0.25">
      <c r="A414" s="24"/>
      <c r="B414" s="24"/>
      <c r="C414" s="24"/>
      <c r="D414" s="24"/>
      <c r="E414" s="24"/>
      <c r="F414" s="24"/>
      <c r="G414" s="24"/>
      <c r="H414" s="24"/>
      <c r="I414" s="44">
        <f>J409+J410+J411+J412</f>
        <v>1073.04</v>
      </c>
      <c r="J414" s="44"/>
      <c r="K414" s="25">
        <f>IF(Source!I615&lt;&gt;0, ROUND(I414/Source!I615, 2), 0)</f>
        <v>1073.04</v>
      </c>
      <c r="P414" s="23">
        <f>I414</f>
        <v>1073.04</v>
      </c>
    </row>
    <row r="415" spans="1:22" ht="57" x14ac:dyDescent="0.2">
      <c r="A415" s="18">
        <v>43</v>
      </c>
      <c r="B415" s="18" t="str">
        <f>Source!F616</f>
        <v>1.21-2303-31-1/1</v>
      </c>
      <c r="C415" s="18" t="str">
        <f>Source!G616</f>
        <v>Техническое обслуживание коробки клеммной соединительной, с количеством клемм до 20 /Коробка распаечная 100х100мм, IP54, черный</v>
      </c>
      <c r="D415" s="19" t="str">
        <f>Source!H616</f>
        <v>шт.</v>
      </c>
      <c r="E415" s="9">
        <f>Source!I616</f>
        <v>150</v>
      </c>
      <c r="F415" s="21"/>
      <c r="G415" s="20"/>
      <c r="H415" s="9"/>
      <c r="I415" s="9"/>
      <c r="J415" s="21"/>
      <c r="K415" s="21"/>
      <c r="Q415">
        <f>ROUND((Source!BZ616/100)*ROUND((Source!AF616*Source!AV616)*Source!I616, 2), 2)</f>
        <v>62242.95</v>
      </c>
      <c r="R415">
        <f>Source!X616</f>
        <v>62242.95</v>
      </c>
      <c r="S415">
        <f>ROUND((Source!CA616/100)*ROUND((Source!AF616*Source!AV616)*Source!I616, 2), 2)</f>
        <v>8891.85</v>
      </c>
      <c r="T415">
        <f>Source!Y616</f>
        <v>8891.85</v>
      </c>
      <c r="U415">
        <f>ROUND((175/100)*ROUND((Source!AE616*Source!AV616)*Source!I616, 2), 2)</f>
        <v>0</v>
      </c>
      <c r="V415">
        <f>ROUND((108/100)*ROUND(Source!CS616*Source!I616, 2), 2)</f>
        <v>0</v>
      </c>
    </row>
    <row r="416" spans="1:22" ht="14.25" x14ac:dyDescent="0.2">
      <c r="A416" s="18"/>
      <c r="B416" s="18"/>
      <c r="C416" s="18" t="s">
        <v>536</v>
      </c>
      <c r="D416" s="19"/>
      <c r="E416" s="9"/>
      <c r="F416" s="21">
        <f>Source!AO616</f>
        <v>592.79</v>
      </c>
      <c r="G416" s="20" t="str">
        <f>Source!DG616</f>
        <v/>
      </c>
      <c r="H416" s="9">
        <f>Source!AV616</f>
        <v>1</v>
      </c>
      <c r="I416" s="9">
        <f>IF(Source!BA616&lt;&gt; 0, Source!BA616, 1)</f>
        <v>1</v>
      </c>
      <c r="J416" s="21">
        <f>Source!S616</f>
        <v>88918.5</v>
      </c>
      <c r="K416" s="21"/>
    </row>
    <row r="417" spans="1:22" ht="14.25" x14ac:dyDescent="0.2">
      <c r="A417" s="18"/>
      <c r="B417" s="18"/>
      <c r="C417" s="18" t="s">
        <v>544</v>
      </c>
      <c r="D417" s="19"/>
      <c r="E417" s="9"/>
      <c r="F417" s="21">
        <f>Source!AL616</f>
        <v>6.02</v>
      </c>
      <c r="G417" s="20" t="str">
        <f>Source!DD616</f>
        <v/>
      </c>
      <c r="H417" s="9">
        <f>Source!AW616</f>
        <v>1</v>
      </c>
      <c r="I417" s="9">
        <f>IF(Source!BC616&lt;&gt; 0, Source!BC616, 1)</f>
        <v>1</v>
      </c>
      <c r="J417" s="21">
        <f>Source!P616</f>
        <v>903</v>
      </c>
      <c r="K417" s="21"/>
    </row>
    <row r="418" spans="1:22" ht="14.25" x14ac:dyDescent="0.2">
      <c r="A418" s="18"/>
      <c r="B418" s="18"/>
      <c r="C418" s="18" t="s">
        <v>537</v>
      </c>
      <c r="D418" s="19" t="s">
        <v>538</v>
      </c>
      <c r="E418" s="9">
        <f>Source!AT616</f>
        <v>70</v>
      </c>
      <c r="F418" s="21"/>
      <c r="G418" s="20"/>
      <c r="H418" s="9"/>
      <c r="I418" s="9"/>
      <c r="J418" s="21">
        <f>SUM(R415:R417)</f>
        <v>62242.95</v>
      </c>
      <c r="K418" s="21"/>
    </row>
    <row r="419" spans="1:22" ht="14.25" x14ac:dyDescent="0.2">
      <c r="A419" s="18"/>
      <c r="B419" s="18"/>
      <c r="C419" s="18" t="s">
        <v>539</v>
      </c>
      <c r="D419" s="19" t="s">
        <v>538</v>
      </c>
      <c r="E419" s="9">
        <f>Source!AU616</f>
        <v>10</v>
      </c>
      <c r="F419" s="21"/>
      <c r="G419" s="20"/>
      <c r="H419" s="9"/>
      <c r="I419" s="9"/>
      <c r="J419" s="21">
        <f>SUM(T415:T418)</f>
        <v>8891.85</v>
      </c>
      <c r="K419" s="21"/>
    </row>
    <row r="420" spans="1:22" ht="14.25" x14ac:dyDescent="0.2">
      <c r="A420" s="18"/>
      <c r="B420" s="18"/>
      <c r="C420" s="18" t="s">
        <v>540</v>
      </c>
      <c r="D420" s="19" t="s">
        <v>541</v>
      </c>
      <c r="E420" s="9">
        <f>Source!AQ616</f>
        <v>0.96</v>
      </c>
      <c r="F420" s="21"/>
      <c r="G420" s="20" t="str">
        <f>Source!DI616</f>
        <v/>
      </c>
      <c r="H420" s="9">
        <f>Source!AV616</f>
        <v>1</v>
      </c>
      <c r="I420" s="9"/>
      <c r="J420" s="21"/>
      <c r="K420" s="21">
        <f>Source!U616</f>
        <v>144</v>
      </c>
    </row>
    <row r="421" spans="1:22" ht="15" x14ac:dyDescent="0.25">
      <c r="A421" s="24"/>
      <c r="B421" s="24"/>
      <c r="C421" s="24"/>
      <c r="D421" s="24"/>
      <c r="E421" s="24"/>
      <c r="F421" s="24"/>
      <c r="G421" s="24"/>
      <c r="H421" s="24"/>
      <c r="I421" s="44">
        <f>J416+J417+J418+J419</f>
        <v>160956.30000000002</v>
      </c>
      <c r="J421" s="44"/>
      <c r="K421" s="25">
        <f>IF(Source!I616&lt;&gt;0, ROUND(I421/Source!I616, 2), 0)</f>
        <v>1073.04</v>
      </c>
      <c r="P421" s="23">
        <f>I421</f>
        <v>160956.30000000002</v>
      </c>
    </row>
    <row r="422" spans="1:22" ht="71.25" x14ac:dyDescent="0.2">
      <c r="A422" s="18">
        <v>44</v>
      </c>
      <c r="B422" s="18" t="str">
        <f>Source!F617</f>
        <v>1.21-2303-31-1/1</v>
      </c>
      <c r="C422" s="18" t="str">
        <f>Source!G617</f>
        <v>Техническое обслуживание коробки клеммной соединительной, с количеством клемм до 20 /Коробка распаячная для открытой проводки 100х100х50мм IP67</v>
      </c>
      <c r="D422" s="19" t="str">
        <f>Source!H617</f>
        <v>шт.</v>
      </c>
      <c r="E422" s="9">
        <f>Source!I617</f>
        <v>100</v>
      </c>
      <c r="F422" s="21"/>
      <c r="G422" s="20"/>
      <c r="H422" s="9"/>
      <c r="I422" s="9"/>
      <c r="J422" s="21"/>
      <c r="K422" s="21"/>
      <c r="Q422">
        <f>ROUND((Source!BZ617/100)*ROUND((Source!AF617*Source!AV617)*Source!I617, 2), 2)</f>
        <v>41495.300000000003</v>
      </c>
      <c r="R422">
        <f>Source!X617</f>
        <v>41495.300000000003</v>
      </c>
      <c r="S422">
        <f>ROUND((Source!CA617/100)*ROUND((Source!AF617*Source!AV617)*Source!I617, 2), 2)</f>
        <v>5927.9</v>
      </c>
      <c r="T422">
        <f>Source!Y617</f>
        <v>5927.9</v>
      </c>
      <c r="U422">
        <f>ROUND((175/100)*ROUND((Source!AE617*Source!AV617)*Source!I617, 2), 2)</f>
        <v>0</v>
      </c>
      <c r="V422">
        <f>ROUND((108/100)*ROUND(Source!CS617*Source!I617, 2), 2)</f>
        <v>0</v>
      </c>
    </row>
    <row r="423" spans="1:22" ht="14.25" x14ac:dyDescent="0.2">
      <c r="A423" s="18"/>
      <c r="B423" s="18"/>
      <c r="C423" s="18" t="s">
        <v>536</v>
      </c>
      <c r="D423" s="19"/>
      <c r="E423" s="9"/>
      <c r="F423" s="21">
        <f>Source!AO617</f>
        <v>592.79</v>
      </c>
      <c r="G423" s="20" t="str">
        <f>Source!DG617</f>
        <v/>
      </c>
      <c r="H423" s="9">
        <f>Source!AV617</f>
        <v>1</v>
      </c>
      <c r="I423" s="9">
        <f>IF(Source!BA617&lt;&gt; 0, Source!BA617, 1)</f>
        <v>1</v>
      </c>
      <c r="J423" s="21">
        <f>Source!S617</f>
        <v>59279</v>
      </c>
      <c r="K423" s="21"/>
    </row>
    <row r="424" spans="1:22" ht="14.25" x14ac:dyDescent="0.2">
      <c r="A424" s="18"/>
      <c r="B424" s="18"/>
      <c r="C424" s="18" t="s">
        <v>544</v>
      </c>
      <c r="D424" s="19"/>
      <c r="E424" s="9"/>
      <c r="F424" s="21">
        <f>Source!AL617</f>
        <v>6.02</v>
      </c>
      <c r="G424" s="20" t="str">
        <f>Source!DD617</f>
        <v/>
      </c>
      <c r="H424" s="9">
        <f>Source!AW617</f>
        <v>1</v>
      </c>
      <c r="I424" s="9">
        <f>IF(Source!BC617&lt;&gt; 0, Source!BC617, 1)</f>
        <v>1</v>
      </c>
      <c r="J424" s="21">
        <f>Source!P617</f>
        <v>602</v>
      </c>
      <c r="K424" s="21"/>
    </row>
    <row r="425" spans="1:22" ht="14.25" x14ac:dyDescent="0.2">
      <c r="A425" s="18"/>
      <c r="B425" s="18"/>
      <c r="C425" s="18" t="s">
        <v>537</v>
      </c>
      <c r="D425" s="19" t="s">
        <v>538</v>
      </c>
      <c r="E425" s="9">
        <f>Source!AT617</f>
        <v>70</v>
      </c>
      <c r="F425" s="21"/>
      <c r="G425" s="20"/>
      <c r="H425" s="9"/>
      <c r="I425" s="9"/>
      <c r="J425" s="21">
        <f>SUM(R422:R424)</f>
        <v>41495.300000000003</v>
      </c>
      <c r="K425" s="21"/>
    </row>
    <row r="426" spans="1:22" ht="14.25" x14ac:dyDescent="0.2">
      <c r="A426" s="18"/>
      <c r="B426" s="18"/>
      <c r="C426" s="18" t="s">
        <v>539</v>
      </c>
      <c r="D426" s="19" t="s">
        <v>538</v>
      </c>
      <c r="E426" s="9">
        <f>Source!AU617</f>
        <v>10</v>
      </c>
      <c r="F426" s="21"/>
      <c r="G426" s="20"/>
      <c r="H426" s="9"/>
      <c r="I426" s="9"/>
      <c r="J426" s="21">
        <f>SUM(T422:T425)</f>
        <v>5927.9</v>
      </c>
      <c r="K426" s="21"/>
    </row>
    <row r="427" spans="1:22" ht="14.25" x14ac:dyDescent="0.2">
      <c r="A427" s="18"/>
      <c r="B427" s="18"/>
      <c r="C427" s="18" t="s">
        <v>540</v>
      </c>
      <c r="D427" s="19" t="s">
        <v>541</v>
      </c>
      <c r="E427" s="9">
        <f>Source!AQ617</f>
        <v>0.96</v>
      </c>
      <c r="F427" s="21"/>
      <c r="G427" s="20" t="str">
        <f>Source!DI617</f>
        <v/>
      </c>
      <c r="H427" s="9">
        <f>Source!AV617</f>
        <v>1</v>
      </c>
      <c r="I427" s="9"/>
      <c r="J427" s="21"/>
      <c r="K427" s="21">
        <f>Source!U617</f>
        <v>96</v>
      </c>
    </row>
    <row r="428" spans="1:22" ht="15" x14ac:dyDescent="0.25">
      <c r="A428" s="24"/>
      <c r="B428" s="24"/>
      <c r="C428" s="24"/>
      <c r="D428" s="24"/>
      <c r="E428" s="24"/>
      <c r="F428" s="24"/>
      <c r="G428" s="24"/>
      <c r="H428" s="24"/>
      <c r="I428" s="44">
        <f>J423+J424+J425+J426</f>
        <v>107304.2</v>
      </c>
      <c r="J428" s="44"/>
      <c r="K428" s="25">
        <f>IF(Source!I617&lt;&gt;0, ROUND(I428/Source!I617, 2), 0)</f>
        <v>1073.04</v>
      </c>
      <c r="P428" s="23">
        <f>I428</f>
        <v>107304.2</v>
      </c>
    </row>
    <row r="430" spans="1:22" ht="15" x14ac:dyDescent="0.25">
      <c r="A430" s="43" t="str">
        <f>CONCATENATE("Итого по подразделу: ",IF(Source!G619&lt;&gt;"Новый подраздел", Source!G619, ""))</f>
        <v>Итого по подразделу: Электроустановочные изделия</v>
      </c>
      <c r="B430" s="43"/>
      <c r="C430" s="43"/>
      <c r="D430" s="43"/>
      <c r="E430" s="43"/>
      <c r="F430" s="43"/>
      <c r="G430" s="43"/>
      <c r="H430" s="43"/>
      <c r="I430" s="41">
        <f>SUM(P388:P429)</f>
        <v>274950.26</v>
      </c>
      <c r="J430" s="42"/>
      <c r="K430" s="27"/>
    </row>
    <row r="433" spans="1:22" ht="16.5" x14ac:dyDescent="0.25">
      <c r="A433" s="45" t="str">
        <f>CONCATENATE("Подраздел: ",IF(Source!G649&lt;&gt;"Новый подраздел", Source!G649, ""))</f>
        <v>Подраздел: Кабели и провода</v>
      </c>
      <c r="B433" s="45"/>
      <c r="C433" s="45"/>
      <c r="D433" s="45"/>
      <c r="E433" s="45"/>
      <c r="F433" s="45"/>
      <c r="G433" s="45"/>
      <c r="H433" s="45"/>
      <c r="I433" s="45"/>
      <c r="J433" s="45"/>
      <c r="K433" s="45"/>
    </row>
    <row r="434" spans="1:22" ht="57" x14ac:dyDescent="0.2">
      <c r="A434" s="18">
        <v>45</v>
      </c>
      <c r="B434" s="18" t="str">
        <f>Source!F653</f>
        <v>1.21-2103-9-1/1</v>
      </c>
      <c r="C434" s="18" t="str">
        <f>Source!G653</f>
        <v>Техническое обслуживание силовых сетей, проложенных по кирпичным и бетонным основаниям, провод сечением 2х1,5-6 мм2 (2х1,5)</v>
      </c>
      <c r="D434" s="19" t="str">
        <f>Source!H653</f>
        <v>100 м</v>
      </c>
      <c r="E434" s="9">
        <f>Source!I653</f>
        <v>0.3</v>
      </c>
      <c r="F434" s="21"/>
      <c r="G434" s="20"/>
      <c r="H434" s="9"/>
      <c r="I434" s="9"/>
      <c r="J434" s="21"/>
      <c r="K434" s="21"/>
      <c r="Q434">
        <f>ROUND((Source!BZ653/100)*ROUND((Source!AF653*Source!AV653)*Source!I653, 2), 2)</f>
        <v>802.66</v>
      </c>
      <c r="R434">
        <f>Source!X653</f>
        <v>802.66</v>
      </c>
      <c r="S434">
        <f>ROUND((Source!CA653/100)*ROUND((Source!AF653*Source!AV653)*Source!I653, 2), 2)</f>
        <v>114.67</v>
      </c>
      <c r="T434">
        <f>Source!Y653</f>
        <v>114.67</v>
      </c>
      <c r="U434">
        <f>ROUND((175/100)*ROUND((Source!AE653*Source!AV653)*Source!I653, 2), 2)</f>
        <v>0</v>
      </c>
      <c r="V434">
        <f>ROUND((108/100)*ROUND(Source!CS653*Source!I653, 2), 2)</f>
        <v>0</v>
      </c>
    </row>
    <row r="435" spans="1:22" x14ac:dyDescent="0.2">
      <c r="C435" s="22" t="str">
        <f>"Объем: "&amp;Source!I653&amp;"=(1500)*"&amp;"0,2*"&amp;"0,1/"&amp;"100"</f>
        <v>Объем: 0,3=(1500)*0,2*0,1/100</v>
      </c>
    </row>
    <row r="436" spans="1:22" ht="14.25" x14ac:dyDescent="0.2">
      <c r="A436" s="18"/>
      <c r="B436" s="18"/>
      <c r="C436" s="18" t="s">
        <v>536</v>
      </c>
      <c r="D436" s="19"/>
      <c r="E436" s="9"/>
      <c r="F436" s="21">
        <f>Source!AO653</f>
        <v>3822.15</v>
      </c>
      <c r="G436" s="20" t="str">
        <f>Source!DG653</f>
        <v/>
      </c>
      <c r="H436" s="9">
        <f>Source!AV653</f>
        <v>1</v>
      </c>
      <c r="I436" s="9">
        <f>IF(Source!BA653&lt;&gt; 0, Source!BA653, 1)</f>
        <v>1</v>
      </c>
      <c r="J436" s="21">
        <f>Source!S653</f>
        <v>1146.6500000000001</v>
      </c>
      <c r="K436" s="21"/>
    </row>
    <row r="437" spans="1:22" ht="14.25" x14ac:dyDescent="0.2">
      <c r="A437" s="18"/>
      <c r="B437" s="18"/>
      <c r="C437" s="18" t="s">
        <v>544</v>
      </c>
      <c r="D437" s="19"/>
      <c r="E437" s="9"/>
      <c r="F437" s="21">
        <f>Source!AL653</f>
        <v>22.51</v>
      </c>
      <c r="G437" s="20" t="str">
        <f>Source!DD653</f>
        <v/>
      </c>
      <c r="H437" s="9">
        <f>Source!AW653</f>
        <v>1</v>
      </c>
      <c r="I437" s="9">
        <f>IF(Source!BC653&lt;&gt; 0, Source!BC653, 1)</f>
        <v>1</v>
      </c>
      <c r="J437" s="21">
        <f>Source!P653</f>
        <v>6.75</v>
      </c>
      <c r="K437" s="21"/>
    </row>
    <row r="438" spans="1:22" ht="14.25" x14ac:dyDescent="0.2">
      <c r="A438" s="18"/>
      <c r="B438" s="18"/>
      <c r="C438" s="18" t="s">
        <v>537</v>
      </c>
      <c r="D438" s="19" t="s">
        <v>538</v>
      </c>
      <c r="E438" s="9">
        <f>Source!AT653</f>
        <v>70</v>
      </c>
      <c r="F438" s="21"/>
      <c r="G438" s="20"/>
      <c r="H438" s="9"/>
      <c r="I438" s="9"/>
      <c r="J438" s="21">
        <f>SUM(R434:R437)</f>
        <v>802.66</v>
      </c>
      <c r="K438" s="21"/>
    </row>
    <row r="439" spans="1:22" ht="14.25" x14ac:dyDescent="0.2">
      <c r="A439" s="18"/>
      <c r="B439" s="18"/>
      <c r="C439" s="18" t="s">
        <v>539</v>
      </c>
      <c r="D439" s="19" t="s">
        <v>538</v>
      </c>
      <c r="E439" s="9">
        <f>Source!AU653</f>
        <v>10</v>
      </c>
      <c r="F439" s="21"/>
      <c r="G439" s="20"/>
      <c r="H439" s="9"/>
      <c r="I439" s="9"/>
      <c r="J439" s="21">
        <f>SUM(T434:T438)</f>
        <v>114.67</v>
      </c>
      <c r="K439" s="21"/>
    </row>
    <row r="440" spans="1:22" ht="14.25" x14ac:dyDescent="0.2">
      <c r="A440" s="18"/>
      <c r="B440" s="18"/>
      <c r="C440" s="18" t="s">
        <v>540</v>
      </c>
      <c r="D440" s="19" t="s">
        <v>541</v>
      </c>
      <c r="E440" s="9">
        <f>Source!AQ653</f>
        <v>7.14</v>
      </c>
      <c r="F440" s="21"/>
      <c r="G440" s="20" t="str">
        <f>Source!DI653</f>
        <v/>
      </c>
      <c r="H440" s="9">
        <f>Source!AV653</f>
        <v>1</v>
      </c>
      <c r="I440" s="9"/>
      <c r="J440" s="21"/>
      <c r="K440" s="21">
        <f>Source!U653</f>
        <v>2.1419999999999999</v>
      </c>
    </row>
    <row r="441" spans="1:22" ht="15" x14ac:dyDescent="0.25">
      <c r="A441" s="24"/>
      <c r="B441" s="24"/>
      <c r="C441" s="24"/>
      <c r="D441" s="24"/>
      <c r="E441" s="24"/>
      <c r="F441" s="24"/>
      <c r="G441" s="24"/>
      <c r="H441" s="24"/>
      <c r="I441" s="44">
        <f>J436+J437+J438+J439</f>
        <v>2070.73</v>
      </c>
      <c r="J441" s="44"/>
      <c r="K441" s="25">
        <f>IF(Source!I653&lt;&gt;0, ROUND(I441/Source!I653, 2), 0)</f>
        <v>6902.43</v>
      </c>
      <c r="P441" s="23">
        <f>I441</f>
        <v>2070.73</v>
      </c>
    </row>
    <row r="442" spans="1:22" ht="57" x14ac:dyDescent="0.2">
      <c r="A442" s="18">
        <v>46</v>
      </c>
      <c r="B442" s="18" t="str">
        <f>Source!F655</f>
        <v>1.21-2103-9-2/1</v>
      </c>
      <c r="C442" s="18" t="str">
        <f>Source!G655</f>
        <v>Техническое обслуживание силовых сетей, проложенных по кирпичным и бетонным основаниям, провод сечением 3х1,5-6 мм2 ( 3х2,5 ; 3х4  )</v>
      </c>
      <c r="D442" s="19" t="str">
        <f>Source!H655</f>
        <v>100 м</v>
      </c>
      <c r="E442" s="9">
        <f>Source!I655</f>
        <v>0.91400000000000003</v>
      </c>
      <c r="F442" s="21"/>
      <c r="G442" s="20"/>
      <c r="H442" s="9"/>
      <c r="I442" s="9"/>
      <c r="J442" s="21"/>
      <c r="K442" s="21"/>
      <c r="Q442">
        <f>ROUND((Source!BZ655/100)*ROUND((Source!AF655*Source!AV655)*Source!I655, 2), 2)</f>
        <v>3424.95</v>
      </c>
      <c r="R442">
        <f>Source!X655</f>
        <v>3424.95</v>
      </c>
      <c r="S442">
        <f>ROUND((Source!CA655/100)*ROUND((Source!AF655*Source!AV655)*Source!I655, 2), 2)</f>
        <v>489.28</v>
      </c>
      <c r="T442">
        <f>Source!Y655</f>
        <v>489.28</v>
      </c>
      <c r="U442">
        <f>ROUND((175/100)*ROUND((Source!AE655*Source!AV655)*Source!I655, 2), 2)</f>
        <v>0</v>
      </c>
      <c r="V442">
        <f>ROUND((108/100)*ROUND(Source!CS655*Source!I655, 2), 2)</f>
        <v>0</v>
      </c>
    </row>
    <row r="443" spans="1:22" ht="25.5" x14ac:dyDescent="0.2">
      <c r="C443" s="22" t="str">
        <f>"Объем: "&amp;Source!I655&amp;"=(2920+"&amp;"10+"&amp;"1300+"&amp;"340)*"&amp;"0,2*"&amp;"0,1/"&amp;"100"</f>
        <v>Объем: 0,914=(2920+10+1300+340)*0,2*0,1/100</v>
      </c>
    </row>
    <row r="444" spans="1:22" ht="14.25" x14ac:dyDescent="0.2">
      <c r="A444" s="18"/>
      <c r="B444" s="18"/>
      <c r="C444" s="18" t="s">
        <v>536</v>
      </c>
      <c r="D444" s="19"/>
      <c r="E444" s="9"/>
      <c r="F444" s="21">
        <f>Source!AO655</f>
        <v>5353.15</v>
      </c>
      <c r="G444" s="20" t="str">
        <f>Source!DG655</f>
        <v/>
      </c>
      <c r="H444" s="9">
        <f>Source!AV655</f>
        <v>1</v>
      </c>
      <c r="I444" s="9">
        <f>IF(Source!BA655&lt;&gt; 0, Source!BA655, 1)</f>
        <v>1</v>
      </c>
      <c r="J444" s="21">
        <f>Source!S655</f>
        <v>4892.78</v>
      </c>
      <c r="K444" s="21"/>
    </row>
    <row r="445" spans="1:22" ht="14.25" x14ac:dyDescent="0.2">
      <c r="A445" s="18"/>
      <c r="B445" s="18"/>
      <c r="C445" s="18" t="s">
        <v>544</v>
      </c>
      <c r="D445" s="19"/>
      <c r="E445" s="9"/>
      <c r="F445" s="21">
        <f>Source!AL655</f>
        <v>22.51</v>
      </c>
      <c r="G445" s="20" t="str">
        <f>Source!DD655</f>
        <v/>
      </c>
      <c r="H445" s="9">
        <f>Source!AW655</f>
        <v>1</v>
      </c>
      <c r="I445" s="9">
        <f>IF(Source!BC655&lt;&gt; 0, Source!BC655, 1)</f>
        <v>1</v>
      </c>
      <c r="J445" s="21">
        <f>Source!P655</f>
        <v>20.57</v>
      </c>
      <c r="K445" s="21"/>
    </row>
    <row r="446" spans="1:22" ht="14.25" x14ac:dyDescent="0.2">
      <c r="A446" s="18"/>
      <c r="B446" s="18"/>
      <c r="C446" s="18" t="s">
        <v>537</v>
      </c>
      <c r="D446" s="19" t="s">
        <v>538</v>
      </c>
      <c r="E446" s="9">
        <f>Source!AT655</f>
        <v>70</v>
      </c>
      <c r="F446" s="21"/>
      <c r="G446" s="20"/>
      <c r="H446" s="9"/>
      <c r="I446" s="9"/>
      <c r="J446" s="21">
        <f>SUM(R442:R445)</f>
        <v>3424.95</v>
      </c>
      <c r="K446" s="21"/>
    </row>
    <row r="447" spans="1:22" ht="14.25" x14ac:dyDescent="0.2">
      <c r="A447" s="18"/>
      <c r="B447" s="18"/>
      <c r="C447" s="18" t="s">
        <v>539</v>
      </c>
      <c r="D447" s="19" t="s">
        <v>538</v>
      </c>
      <c r="E447" s="9">
        <f>Source!AU655</f>
        <v>10</v>
      </c>
      <c r="F447" s="21"/>
      <c r="G447" s="20"/>
      <c r="H447" s="9"/>
      <c r="I447" s="9"/>
      <c r="J447" s="21">
        <f>SUM(T442:T446)</f>
        <v>489.28</v>
      </c>
      <c r="K447" s="21"/>
    </row>
    <row r="448" spans="1:22" ht="14.25" x14ac:dyDescent="0.2">
      <c r="A448" s="18"/>
      <c r="B448" s="18"/>
      <c r="C448" s="18" t="s">
        <v>540</v>
      </c>
      <c r="D448" s="19" t="s">
        <v>541</v>
      </c>
      <c r="E448" s="9">
        <f>Source!AQ655</f>
        <v>10</v>
      </c>
      <c r="F448" s="21"/>
      <c r="G448" s="20" t="str">
        <f>Source!DI655</f>
        <v/>
      </c>
      <c r="H448" s="9">
        <f>Source!AV655</f>
        <v>1</v>
      </c>
      <c r="I448" s="9"/>
      <c r="J448" s="21"/>
      <c r="K448" s="21">
        <f>Source!U655</f>
        <v>9.14</v>
      </c>
    </row>
    <row r="449" spans="1:22" ht="15" x14ac:dyDescent="0.25">
      <c r="A449" s="24"/>
      <c r="B449" s="24"/>
      <c r="C449" s="24"/>
      <c r="D449" s="24"/>
      <c r="E449" s="24"/>
      <c r="F449" s="24"/>
      <c r="G449" s="24"/>
      <c r="H449" s="24"/>
      <c r="I449" s="44">
        <f>J444+J445+J446+J447</f>
        <v>8827.58</v>
      </c>
      <c r="J449" s="44"/>
      <c r="K449" s="25">
        <f>IF(Source!I655&lt;&gt;0, ROUND(I449/Source!I655, 2), 0)</f>
        <v>9658.18</v>
      </c>
      <c r="P449" s="23">
        <f>I449</f>
        <v>8827.58</v>
      </c>
    </row>
    <row r="450" spans="1:22" ht="57" x14ac:dyDescent="0.2">
      <c r="A450" s="18">
        <v>47</v>
      </c>
      <c r="B450" s="18" t="str">
        <f>Source!F657</f>
        <v>1.21-2103-9-3/1</v>
      </c>
      <c r="C450" s="18" t="str">
        <f>Source!G657</f>
        <v>Техническое обслуживание силовых сетей, проложенных по кирпичным и бетонным основаниям, провод сечением 4х1,5-6 мм2 (4х2,5)</v>
      </c>
      <c r="D450" s="19" t="str">
        <f>Source!H657</f>
        <v>100 м</v>
      </c>
      <c r="E450" s="9">
        <f>Source!I657</f>
        <v>0.127</v>
      </c>
      <c r="F450" s="21"/>
      <c r="G450" s="20"/>
      <c r="H450" s="9"/>
      <c r="I450" s="9"/>
      <c r="J450" s="21"/>
      <c r="K450" s="21"/>
      <c r="Q450">
        <f>ROUND((Source!BZ657/100)*ROUND((Source!AF657*Source!AV657)*Source!I657, 2), 2)</f>
        <v>533.95000000000005</v>
      </c>
      <c r="R450">
        <f>Source!X657</f>
        <v>533.95000000000005</v>
      </c>
      <c r="S450">
        <f>ROUND((Source!CA657/100)*ROUND((Source!AF657*Source!AV657)*Source!I657, 2), 2)</f>
        <v>76.28</v>
      </c>
      <c r="T450">
        <f>Source!Y657</f>
        <v>76.28</v>
      </c>
      <c r="U450">
        <f>ROUND((175/100)*ROUND((Source!AE657*Source!AV657)*Source!I657, 2), 2)</f>
        <v>0</v>
      </c>
      <c r="V450">
        <f>ROUND((108/100)*ROUND(Source!CS657*Source!I657, 2), 2)</f>
        <v>0</v>
      </c>
    </row>
    <row r="451" spans="1:22" x14ac:dyDescent="0.2">
      <c r="C451" s="22" t="str">
        <f>"Объем: "&amp;Source!I657&amp;"=(635)*"&amp;"0,2*"&amp;"0,1/"&amp;"100"</f>
        <v>Объем: 0,127=(635)*0,2*0,1/100</v>
      </c>
    </row>
    <row r="452" spans="1:22" ht="14.25" x14ac:dyDescent="0.2">
      <c r="A452" s="18"/>
      <c r="B452" s="18"/>
      <c r="C452" s="18" t="s">
        <v>536</v>
      </c>
      <c r="D452" s="19"/>
      <c r="E452" s="9"/>
      <c r="F452" s="21">
        <f>Source!AO657</f>
        <v>6006.24</v>
      </c>
      <c r="G452" s="20" t="str">
        <f>Source!DG657</f>
        <v/>
      </c>
      <c r="H452" s="9">
        <f>Source!AV657</f>
        <v>1</v>
      </c>
      <c r="I452" s="9">
        <f>IF(Source!BA657&lt;&gt; 0, Source!BA657, 1)</f>
        <v>1</v>
      </c>
      <c r="J452" s="21">
        <f>Source!S657</f>
        <v>762.79</v>
      </c>
      <c r="K452" s="21"/>
    </row>
    <row r="453" spans="1:22" ht="14.25" x14ac:dyDescent="0.2">
      <c r="A453" s="18"/>
      <c r="B453" s="18"/>
      <c r="C453" s="18" t="s">
        <v>544</v>
      </c>
      <c r="D453" s="19"/>
      <c r="E453" s="9"/>
      <c r="F453" s="21">
        <f>Source!AL657</f>
        <v>14.63</v>
      </c>
      <c r="G453" s="20" t="str">
        <f>Source!DD657</f>
        <v/>
      </c>
      <c r="H453" s="9">
        <f>Source!AW657</f>
        <v>1</v>
      </c>
      <c r="I453" s="9">
        <f>IF(Source!BC657&lt;&gt; 0, Source!BC657, 1)</f>
        <v>1</v>
      </c>
      <c r="J453" s="21">
        <f>Source!P657</f>
        <v>1.86</v>
      </c>
      <c r="K453" s="21"/>
    </row>
    <row r="454" spans="1:22" ht="14.25" x14ac:dyDescent="0.2">
      <c r="A454" s="18"/>
      <c r="B454" s="18"/>
      <c r="C454" s="18" t="s">
        <v>537</v>
      </c>
      <c r="D454" s="19" t="s">
        <v>538</v>
      </c>
      <c r="E454" s="9">
        <f>Source!AT657</f>
        <v>70</v>
      </c>
      <c r="F454" s="21"/>
      <c r="G454" s="20"/>
      <c r="H454" s="9"/>
      <c r="I454" s="9"/>
      <c r="J454" s="21">
        <f>SUM(R450:R453)</f>
        <v>533.95000000000005</v>
      </c>
      <c r="K454" s="21"/>
    </row>
    <row r="455" spans="1:22" ht="14.25" x14ac:dyDescent="0.2">
      <c r="A455" s="18"/>
      <c r="B455" s="18"/>
      <c r="C455" s="18" t="s">
        <v>539</v>
      </c>
      <c r="D455" s="19" t="s">
        <v>538</v>
      </c>
      <c r="E455" s="9">
        <f>Source!AU657</f>
        <v>10</v>
      </c>
      <c r="F455" s="21"/>
      <c r="G455" s="20"/>
      <c r="H455" s="9"/>
      <c r="I455" s="9"/>
      <c r="J455" s="21">
        <f>SUM(T450:T454)</f>
        <v>76.28</v>
      </c>
      <c r="K455" s="21"/>
    </row>
    <row r="456" spans="1:22" ht="14.25" x14ac:dyDescent="0.2">
      <c r="A456" s="18"/>
      <c r="B456" s="18"/>
      <c r="C456" s="18" t="s">
        <v>540</v>
      </c>
      <c r="D456" s="19" t="s">
        <v>541</v>
      </c>
      <c r="E456" s="9">
        <f>Source!AQ657</f>
        <v>11.22</v>
      </c>
      <c r="F456" s="21"/>
      <c r="G456" s="20" t="str">
        <f>Source!DI657</f>
        <v/>
      </c>
      <c r="H456" s="9">
        <f>Source!AV657</f>
        <v>1</v>
      </c>
      <c r="I456" s="9"/>
      <c r="J456" s="21"/>
      <c r="K456" s="21">
        <f>Source!U657</f>
        <v>1.4249400000000001</v>
      </c>
    </row>
    <row r="457" spans="1:22" ht="15" x14ac:dyDescent="0.25">
      <c r="A457" s="24"/>
      <c r="B457" s="24"/>
      <c r="C457" s="24"/>
      <c r="D457" s="24"/>
      <c r="E457" s="24"/>
      <c r="F457" s="24"/>
      <c r="G457" s="24"/>
      <c r="H457" s="24"/>
      <c r="I457" s="44">
        <f>J452+J453+J454+J455</f>
        <v>1374.8799999999999</v>
      </c>
      <c r="J457" s="44"/>
      <c r="K457" s="25">
        <f>IF(Source!I657&lt;&gt;0, ROUND(I457/Source!I657, 2), 0)</f>
        <v>10825.83</v>
      </c>
      <c r="P457" s="23">
        <f>I457</f>
        <v>1374.8799999999999</v>
      </c>
    </row>
    <row r="458" spans="1:22" ht="57" x14ac:dyDescent="0.2">
      <c r="A458" s="18">
        <v>48</v>
      </c>
      <c r="B458" s="18" t="str">
        <f>Source!F659</f>
        <v>1.21-2103-9-3/1</v>
      </c>
      <c r="C458" s="18" t="str">
        <f>Source!G659</f>
        <v>Техническое обслуживание силовых сетей, проложенных по кирпичным и бетонным основаниям, провод сечением 4х1,5-6 мм2 ( 5х4, 5х6)</v>
      </c>
      <c r="D458" s="19" t="str">
        <f>Source!H659</f>
        <v>100 м</v>
      </c>
      <c r="E458" s="9">
        <f>Source!I659</f>
        <v>3.4000000000000002E-2</v>
      </c>
      <c r="F458" s="21"/>
      <c r="G458" s="20"/>
      <c r="H458" s="9"/>
      <c r="I458" s="9"/>
      <c r="J458" s="21"/>
      <c r="K458" s="21"/>
      <c r="Q458">
        <f>ROUND((Source!BZ659/100)*ROUND((Source!AF659*Source!AV659)*Source!I659, 2), 2)</f>
        <v>142.94999999999999</v>
      </c>
      <c r="R458">
        <f>Source!X659</f>
        <v>142.94999999999999</v>
      </c>
      <c r="S458">
        <f>ROUND((Source!CA659/100)*ROUND((Source!AF659*Source!AV659)*Source!I659, 2), 2)</f>
        <v>20.420000000000002</v>
      </c>
      <c r="T458">
        <f>Source!Y659</f>
        <v>20.420000000000002</v>
      </c>
      <c r="U458">
        <f>ROUND((175/100)*ROUND((Source!AE659*Source!AV659)*Source!I659, 2), 2)</f>
        <v>0</v>
      </c>
      <c r="V458">
        <f>ROUND((108/100)*ROUND(Source!CS659*Source!I659, 2), 2)</f>
        <v>0</v>
      </c>
    </row>
    <row r="459" spans="1:22" x14ac:dyDescent="0.2">
      <c r="C459" s="22" t="str">
        <f>"Объем: "&amp;Source!I659&amp;"=(10+"&amp;"140+"&amp;"20)*"&amp;"0,2*"&amp;"0,1/"&amp;"100"</f>
        <v>Объем: 0,034=(10+140+20)*0,2*0,1/100</v>
      </c>
    </row>
    <row r="460" spans="1:22" ht="14.25" x14ac:dyDescent="0.2">
      <c r="A460" s="18"/>
      <c r="B460" s="18"/>
      <c r="C460" s="18" t="s">
        <v>536</v>
      </c>
      <c r="D460" s="19"/>
      <c r="E460" s="9"/>
      <c r="F460" s="21">
        <f>Source!AO659</f>
        <v>6006.24</v>
      </c>
      <c r="G460" s="20" t="str">
        <f>Source!DG659</f>
        <v/>
      </c>
      <c r="H460" s="9">
        <f>Source!AV659</f>
        <v>1</v>
      </c>
      <c r="I460" s="9">
        <f>IF(Source!BA659&lt;&gt; 0, Source!BA659, 1)</f>
        <v>1</v>
      </c>
      <c r="J460" s="21">
        <f>Source!S659</f>
        <v>204.21</v>
      </c>
      <c r="K460" s="21"/>
    </row>
    <row r="461" spans="1:22" ht="14.25" x14ac:dyDescent="0.2">
      <c r="A461" s="18"/>
      <c r="B461" s="18"/>
      <c r="C461" s="18" t="s">
        <v>544</v>
      </c>
      <c r="D461" s="19"/>
      <c r="E461" s="9"/>
      <c r="F461" s="21">
        <f>Source!AL659</f>
        <v>14.63</v>
      </c>
      <c r="G461" s="20" t="str">
        <f>Source!DD659</f>
        <v/>
      </c>
      <c r="H461" s="9">
        <f>Source!AW659</f>
        <v>1</v>
      </c>
      <c r="I461" s="9">
        <f>IF(Source!BC659&lt;&gt; 0, Source!BC659, 1)</f>
        <v>1</v>
      </c>
      <c r="J461" s="21">
        <f>Source!P659</f>
        <v>0.5</v>
      </c>
      <c r="K461" s="21"/>
    </row>
    <row r="462" spans="1:22" ht="14.25" x14ac:dyDescent="0.2">
      <c r="A462" s="18"/>
      <c r="B462" s="18"/>
      <c r="C462" s="18" t="s">
        <v>537</v>
      </c>
      <c r="D462" s="19" t="s">
        <v>538</v>
      </c>
      <c r="E462" s="9">
        <f>Source!AT659</f>
        <v>70</v>
      </c>
      <c r="F462" s="21"/>
      <c r="G462" s="20"/>
      <c r="H462" s="9"/>
      <c r="I462" s="9"/>
      <c r="J462" s="21">
        <f>SUM(R458:R461)</f>
        <v>142.94999999999999</v>
      </c>
      <c r="K462" s="21"/>
    </row>
    <row r="463" spans="1:22" ht="14.25" x14ac:dyDescent="0.2">
      <c r="A463" s="18"/>
      <c r="B463" s="18"/>
      <c r="C463" s="18" t="s">
        <v>539</v>
      </c>
      <c r="D463" s="19" t="s">
        <v>538</v>
      </c>
      <c r="E463" s="9">
        <f>Source!AU659</f>
        <v>10</v>
      </c>
      <c r="F463" s="21"/>
      <c r="G463" s="20"/>
      <c r="H463" s="9"/>
      <c r="I463" s="9"/>
      <c r="J463" s="21">
        <f>SUM(T458:T462)</f>
        <v>20.420000000000002</v>
      </c>
      <c r="K463" s="21"/>
    </row>
    <row r="464" spans="1:22" ht="14.25" x14ac:dyDescent="0.2">
      <c r="A464" s="18"/>
      <c r="B464" s="18"/>
      <c r="C464" s="18" t="s">
        <v>540</v>
      </c>
      <c r="D464" s="19" t="s">
        <v>541</v>
      </c>
      <c r="E464" s="9">
        <f>Source!AQ659</f>
        <v>11.22</v>
      </c>
      <c r="F464" s="21"/>
      <c r="G464" s="20" t="str">
        <f>Source!DI659</f>
        <v/>
      </c>
      <c r="H464" s="9">
        <f>Source!AV659</f>
        <v>1</v>
      </c>
      <c r="I464" s="9"/>
      <c r="J464" s="21"/>
      <c r="K464" s="21">
        <f>Source!U659</f>
        <v>0.38148000000000004</v>
      </c>
    </row>
    <row r="465" spans="1:22" ht="15" x14ac:dyDescent="0.25">
      <c r="A465" s="24"/>
      <c r="B465" s="24"/>
      <c r="C465" s="24"/>
      <c r="D465" s="24"/>
      <c r="E465" s="24"/>
      <c r="F465" s="24"/>
      <c r="G465" s="24"/>
      <c r="H465" s="24"/>
      <c r="I465" s="44">
        <f>J460+J461+J462+J463</f>
        <v>368.08</v>
      </c>
      <c r="J465" s="44"/>
      <c r="K465" s="25">
        <f>IF(Source!I659&lt;&gt;0, ROUND(I465/Source!I659, 2), 0)</f>
        <v>10825.88</v>
      </c>
      <c r="P465" s="23">
        <f>I465</f>
        <v>368.08</v>
      </c>
    </row>
    <row r="466" spans="1:22" ht="57" x14ac:dyDescent="0.2">
      <c r="A466" s="18">
        <v>49</v>
      </c>
      <c r="B466" s="18" t="str">
        <f>Source!F661</f>
        <v>1.21-2103-9-5/1</v>
      </c>
      <c r="C466" s="18" t="str">
        <f>Source!G661</f>
        <v>Техническое обслуживание силовых сетей, проложенных по кирпичным и бетонным основаниям, провод сечением 3х10-16 мм2 (5х10)</v>
      </c>
      <c r="D466" s="19" t="str">
        <f>Source!H661</f>
        <v>100 м</v>
      </c>
      <c r="E466" s="9">
        <f>Source!I661</f>
        <v>0.04</v>
      </c>
      <c r="F466" s="21"/>
      <c r="G466" s="20"/>
      <c r="H466" s="9"/>
      <c r="I466" s="9"/>
      <c r="J466" s="21"/>
      <c r="K466" s="21"/>
      <c r="Q466">
        <f>ROUND((Source!BZ661/100)*ROUND((Source!AF661*Source!AV661)*Source!I661, 2), 2)</f>
        <v>178.07</v>
      </c>
      <c r="R466">
        <f>Source!X661</f>
        <v>178.07</v>
      </c>
      <c r="S466">
        <f>ROUND((Source!CA661/100)*ROUND((Source!AF661*Source!AV661)*Source!I661, 2), 2)</f>
        <v>25.44</v>
      </c>
      <c r="T466">
        <f>Source!Y661</f>
        <v>25.44</v>
      </c>
      <c r="U466">
        <f>ROUND((175/100)*ROUND((Source!AE661*Source!AV661)*Source!I661, 2), 2)</f>
        <v>0</v>
      </c>
      <c r="V466">
        <f>ROUND((108/100)*ROUND(Source!CS661*Source!I661, 2), 2)</f>
        <v>0</v>
      </c>
    </row>
    <row r="467" spans="1:22" x14ac:dyDescent="0.2">
      <c r="C467" s="22" t="str">
        <f>"Объем: "&amp;Source!I661&amp;"=(200)*"&amp;"0,2*"&amp;"0,1/"&amp;"100"</f>
        <v>Объем: 0,04=(200)*0,2*0,1/100</v>
      </c>
    </row>
    <row r="468" spans="1:22" ht="14.25" x14ac:dyDescent="0.2">
      <c r="A468" s="18"/>
      <c r="B468" s="18"/>
      <c r="C468" s="18" t="s">
        <v>536</v>
      </c>
      <c r="D468" s="19"/>
      <c r="E468" s="9"/>
      <c r="F468" s="21">
        <f>Source!AO661</f>
        <v>6359.54</v>
      </c>
      <c r="G468" s="20" t="str">
        <f>Source!DG661</f>
        <v/>
      </c>
      <c r="H468" s="9">
        <f>Source!AV661</f>
        <v>1</v>
      </c>
      <c r="I468" s="9">
        <f>IF(Source!BA661&lt;&gt; 0, Source!BA661, 1)</f>
        <v>1</v>
      </c>
      <c r="J468" s="21">
        <f>Source!S661</f>
        <v>254.38</v>
      </c>
      <c r="K468" s="21"/>
    </row>
    <row r="469" spans="1:22" ht="14.25" x14ac:dyDescent="0.2">
      <c r="A469" s="18"/>
      <c r="B469" s="18"/>
      <c r="C469" s="18" t="s">
        <v>544</v>
      </c>
      <c r="D469" s="19"/>
      <c r="E469" s="9"/>
      <c r="F469" s="21">
        <f>Source!AL661</f>
        <v>15.76</v>
      </c>
      <c r="G469" s="20" t="str">
        <f>Source!DD661</f>
        <v/>
      </c>
      <c r="H469" s="9">
        <f>Source!AW661</f>
        <v>1</v>
      </c>
      <c r="I469" s="9">
        <f>IF(Source!BC661&lt;&gt; 0, Source!BC661, 1)</f>
        <v>1</v>
      </c>
      <c r="J469" s="21">
        <f>Source!P661</f>
        <v>0.63</v>
      </c>
      <c r="K469" s="21"/>
    </row>
    <row r="470" spans="1:22" ht="14.25" x14ac:dyDescent="0.2">
      <c r="A470" s="18"/>
      <c r="B470" s="18"/>
      <c r="C470" s="18" t="s">
        <v>537</v>
      </c>
      <c r="D470" s="19" t="s">
        <v>538</v>
      </c>
      <c r="E470" s="9">
        <f>Source!AT661</f>
        <v>70</v>
      </c>
      <c r="F470" s="21"/>
      <c r="G470" s="20"/>
      <c r="H470" s="9"/>
      <c r="I470" s="9"/>
      <c r="J470" s="21">
        <f>SUM(R466:R469)</f>
        <v>178.07</v>
      </c>
      <c r="K470" s="21"/>
    </row>
    <row r="471" spans="1:22" ht="14.25" x14ac:dyDescent="0.2">
      <c r="A471" s="18"/>
      <c r="B471" s="18"/>
      <c r="C471" s="18" t="s">
        <v>539</v>
      </c>
      <c r="D471" s="19" t="s">
        <v>538</v>
      </c>
      <c r="E471" s="9">
        <f>Source!AU661</f>
        <v>10</v>
      </c>
      <c r="F471" s="21"/>
      <c r="G471" s="20"/>
      <c r="H471" s="9"/>
      <c r="I471" s="9"/>
      <c r="J471" s="21">
        <f>SUM(T466:T470)</f>
        <v>25.44</v>
      </c>
      <c r="K471" s="21"/>
    </row>
    <row r="472" spans="1:22" ht="14.25" x14ac:dyDescent="0.2">
      <c r="A472" s="18"/>
      <c r="B472" s="18"/>
      <c r="C472" s="18" t="s">
        <v>540</v>
      </c>
      <c r="D472" s="19" t="s">
        <v>541</v>
      </c>
      <c r="E472" s="9">
        <f>Source!AQ661</f>
        <v>11.88</v>
      </c>
      <c r="F472" s="21"/>
      <c r="G472" s="20" t="str">
        <f>Source!DI661</f>
        <v/>
      </c>
      <c r="H472" s="9">
        <f>Source!AV661</f>
        <v>1</v>
      </c>
      <c r="I472" s="9"/>
      <c r="J472" s="21"/>
      <c r="K472" s="21">
        <f>Source!U661</f>
        <v>0.47520000000000007</v>
      </c>
    </row>
    <row r="473" spans="1:22" ht="15" x14ac:dyDescent="0.25">
      <c r="A473" s="24"/>
      <c r="B473" s="24"/>
      <c r="C473" s="24"/>
      <c r="D473" s="24"/>
      <c r="E473" s="24"/>
      <c r="F473" s="24"/>
      <c r="G473" s="24"/>
      <c r="H473" s="24"/>
      <c r="I473" s="44">
        <f>J468+J469+J470+J471</f>
        <v>458.52</v>
      </c>
      <c r="J473" s="44"/>
      <c r="K473" s="25">
        <f>IF(Source!I661&lt;&gt;0, ROUND(I473/Source!I661, 2), 0)</f>
        <v>11463</v>
      </c>
      <c r="P473" s="23">
        <f>I473</f>
        <v>458.52</v>
      </c>
    </row>
    <row r="474" spans="1:22" ht="57" x14ac:dyDescent="0.2">
      <c r="A474" s="18">
        <v>50</v>
      </c>
      <c r="B474" s="18" t="str">
        <f>Source!F663</f>
        <v>1.21-2103-9-7/1</v>
      </c>
      <c r="C474" s="18" t="str">
        <f>Source!G663</f>
        <v>Техническое обслуживание силовых сетей, проложенных по кирпичным и бетонным основаниям, провод сечением 3х25-35 мм2 (5х25, 5х35)</v>
      </c>
      <c r="D474" s="19" t="str">
        <f>Source!H663</f>
        <v>100 м</v>
      </c>
      <c r="E474" s="9">
        <f>Source!I663</f>
        <v>2.7E-2</v>
      </c>
      <c r="F474" s="21"/>
      <c r="G474" s="20"/>
      <c r="H474" s="9"/>
      <c r="I474" s="9"/>
      <c r="J474" s="21"/>
      <c r="K474" s="21"/>
      <c r="Q474">
        <f>ROUND((Source!BZ663/100)*ROUND((Source!AF663*Source!AV663)*Source!I663, 2), 2)</f>
        <v>147.51</v>
      </c>
      <c r="R474">
        <f>Source!X663</f>
        <v>147.51</v>
      </c>
      <c r="S474">
        <f>ROUND((Source!CA663/100)*ROUND((Source!AF663*Source!AV663)*Source!I663, 2), 2)</f>
        <v>21.07</v>
      </c>
      <c r="T474">
        <f>Source!Y663</f>
        <v>21.07</v>
      </c>
      <c r="U474">
        <f>ROUND((175/100)*ROUND((Source!AE663*Source!AV663)*Source!I663, 2), 2)</f>
        <v>0</v>
      </c>
      <c r="V474">
        <f>ROUND((108/100)*ROUND(Source!CS663*Source!I663, 2), 2)</f>
        <v>0</v>
      </c>
    </row>
    <row r="475" spans="1:22" x14ac:dyDescent="0.2">
      <c r="C475" s="22" t="str">
        <f>"Объем: "&amp;Source!I663&amp;"=(130+"&amp;"5)*"&amp;"0,2*"&amp;"0,1/"&amp;"100"</f>
        <v>Объем: 0,027=(130+5)*0,2*0,1/100</v>
      </c>
    </row>
    <row r="476" spans="1:22" ht="14.25" x14ac:dyDescent="0.2">
      <c r="A476" s="18"/>
      <c r="B476" s="18"/>
      <c r="C476" s="18" t="s">
        <v>536</v>
      </c>
      <c r="D476" s="19"/>
      <c r="E476" s="9"/>
      <c r="F476" s="21">
        <f>Source!AO663</f>
        <v>7804.89</v>
      </c>
      <c r="G476" s="20" t="str">
        <f>Source!DG663</f>
        <v/>
      </c>
      <c r="H476" s="9">
        <f>Source!AV663</f>
        <v>1</v>
      </c>
      <c r="I476" s="9">
        <f>IF(Source!BA663&lt;&gt; 0, Source!BA663, 1)</f>
        <v>1</v>
      </c>
      <c r="J476" s="21">
        <f>Source!S663</f>
        <v>210.73</v>
      </c>
      <c r="K476" s="21"/>
    </row>
    <row r="477" spans="1:22" ht="14.25" x14ac:dyDescent="0.2">
      <c r="A477" s="18"/>
      <c r="B477" s="18"/>
      <c r="C477" s="18" t="s">
        <v>544</v>
      </c>
      <c r="D477" s="19"/>
      <c r="E477" s="9"/>
      <c r="F477" s="21">
        <f>Source!AL663</f>
        <v>19.13</v>
      </c>
      <c r="G477" s="20" t="str">
        <f>Source!DD663</f>
        <v/>
      </c>
      <c r="H477" s="9">
        <f>Source!AW663</f>
        <v>1</v>
      </c>
      <c r="I477" s="9">
        <f>IF(Source!BC663&lt;&gt; 0, Source!BC663, 1)</f>
        <v>1</v>
      </c>
      <c r="J477" s="21">
        <f>Source!P663</f>
        <v>0.52</v>
      </c>
      <c r="K477" s="21"/>
    </row>
    <row r="478" spans="1:22" ht="14.25" x14ac:dyDescent="0.2">
      <c r="A478" s="18"/>
      <c r="B478" s="18"/>
      <c r="C478" s="18" t="s">
        <v>537</v>
      </c>
      <c r="D478" s="19" t="s">
        <v>538</v>
      </c>
      <c r="E478" s="9">
        <f>Source!AT663</f>
        <v>70</v>
      </c>
      <c r="F478" s="21"/>
      <c r="G478" s="20"/>
      <c r="H478" s="9"/>
      <c r="I478" s="9"/>
      <c r="J478" s="21">
        <f>SUM(R474:R477)</f>
        <v>147.51</v>
      </c>
      <c r="K478" s="21"/>
    </row>
    <row r="479" spans="1:22" ht="14.25" x14ac:dyDescent="0.2">
      <c r="A479" s="18"/>
      <c r="B479" s="18"/>
      <c r="C479" s="18" t="s">
        <v>539</v>
      </c>
      <c r="D479" s="19" t="s">
        <v>538</v>
      </c>
      <c r="E479" s="9">
        <f>Source!AU663</f>
        <v>10</v>
      </c>
      <c r="F479" s="21"/>
      <c r="G479" s="20"/>
      <c r="H479" s="9"/>
      <c r="I479" s="9"/>
      <c r="J479" s="21">
        <f>SUM(T474:T478)</f>
        <v>21.07</v>
      </c>
      <c r="K479" s="21"/>
    </row>
    <row r="480" spans="1:22" ht="14.25" x14ac:dyDescent="0.2">
      <c r="A480" s="18"/>
      <c r="B480" s="18"/>
      <c r="C480" s="18" t="s">
        <v>540</v>
      </c>
      <c r="D480" s="19" t="s">
        <v>541</v>
      </c>
      <c r="E480" s="9">
        <f>Source!AQ663</f>
        <v>14.58</v>
      </c>
      <c r="F480" s="21"/>
      <c r="G480" s="20" t="str">
        <f>Source!DI663</f>
        <v/>
      </c>
      <c r="H480" s="9">
        <f>Source!AV663</f>
        <v>1</v>
      </c>
      <c r="I480" s="9"/>
      <c r="J480" s="21"/>
      <c r="K480" s="21">
        <f>Source!U663</f>
        <v>0.39366000000000001</v>
      </c>
    </row>
    <row r="481" spans="1:22" ht="15" x14ac:dyDescent="0.25">
      <c r="A481" s="24"/>
      <c r="B481" s="24"/>
      <c r="C481" s="24"/>
      <c r="D481" s="24"/>
      <c r="E481" s="24"/>
      <c r="F481" s="24"/>
      <c r="G481" s="24"/>
      <c r="H481" s="24"/>
      <c r="I481" s="44">
        <f>J476+J477+J478+J479</f>
        <v>379.83</v>
      </c>
      <c r="J481" s="44"/>
      <c r="K481" s="25">
        <f>IF(Source!I663&lt;&gt;0, ROUND(I481/Source!I663, 2), 0)</f>
        <v>14067.78</v>
      </c>
      <c r="P481" s="23">
        <f>I481</f>
        <v>379.83</v>
      </c>
    </row>
    <row r="482" spans="1:22" ht="71.25" x14ac:dyDescent="0.2">
      <c r="A482" s="18">
        <v>51</v>
      </c>
      <c r="B482" s="18" t="str">
        <f>Source!F664</f>
        <v>1.21-2103-9-8/1</v>
      </c>
      <c r="C482" s="18" t="str">
        <f>Source!G664</f>
        <v>Техническое обслуживание силовых сетей, проложенных по кирпичным и бетонным основаниям, добавлять на каждый следующий провод к поз. 21-2103-9-7  (5х25, 5х35)</v>
      </c>
      <c r="D482" s="19" t="str">
        <f>Source!H664</f>
        <v>100 м</v>
      </c>
      <c r="E482" s="9">
        <f>Source!I664</f>
        <v>2.7E-2</v>
      </c>
      <c r="F482" s="21"/>
      <c r="G482" s="20"/>
      <c r="H482" s="9"/>
      <c r="I482" s="9"/>
      <c r="J482" s="21"/>
      <c r="K482" s="21"/>
      <c r="Q482">
        <f>ROUND((Source!BZ664/100)*ROUND((Source!AF664*Source!AV664)*Source!I664, 2), 2)</f>
        <v>32.78</v>
      </c>
      <c r="R482">
        <f>Source!X664</f>
        <v>32.78</v>
      </c>
      <c r="S482">
        <f>ROUND((Source!CA664/100)*ROUND((Source!AF664*Source!AV664)*Source!I664, 2), 2)</f>
        <v>4.68</v>
      </c>
      <c r="T482">
        <f>Source!Y664</f>
        <v>4.68</v>
      </c>
      <c r="U482">
        <f>ROUND((175/100)*ROUND((Source!AE664*Source!AV664)*Source!I664, 2), 2)</f>
        <v>0</v>
      </c>
      <c r="V482">
        <f>ROUND((108/100)*ROUND(Source!CS664*Source!I664, 2), 2)</f>
        <v>0</v>
      </c>
    </row>
    <row r="483" spans="1:22" x14ac:dyDescent="0.2">
      <c r="C483" s="22" t="str">
        <f>"Объем: "&amp;Source!I664&amp;"=(130+"&amp;"5)*"&amp;"0,2*"&amp;"0,1/"&amp;"100"</f>
        <v>Объем: 0,027=(130+5)*0,2*0,1/100</v>
      </c>
    </row>
    <row r="484" spans="1:22" ht="14.25" x14ac:dyDescent="0.2">
      <c r="A484" s="18"/>
      <c r="B484" s="18"/>
      <c r="C484" s="18" t="s">
        <v>536</v>
      </c>
      <c r="D484" s="19"/>
      <c r="E484" s="9"/>
      <c r="F484" s="21">
        <f>Source!AO664</f>
        <v>1734.42</v>
      </c>
      <c r="G484" s="20" t="str">
        <f>Source!DG664</f>
        <v/>
      </c>
      <c r="H484" s="9">
        <f>Source!AV664</f>
        <v>1</v>
      </c>
      <c r="I484" s="9">
        <f>IF(Source!BA664&lt;&gt; 0, Source!BA664, 1)</f>
        <v>1</v>
      </c>
      <c r="J484" s="21">
        <f>Source!S664</f>
        <v>46.83</v>
      </c>
      <c r="K484" s="21"/>
    </row>
    <row r="485" spans="1:22" ht="14.25" x14ac:dyDescent="0.2">
      <c r="A485" s="18"/>
      <c r="B485" s="18"/>
      <c r="C485" s="18" t="s">
        <v>544</v>
      </c>
      <c r="D485" s="19"/>
      <c r="E485" s="9"/>
      <c r="F485" s="21">
        <f>Source!AL664</f>
        <v>4.13</v>
      </c>
      <c r="G485" s="20" t="str">
        <f>Source!DD664</f>
        <v/>
      </c>
      <c r="H485" s="9">
        <f>Source!AW664</f>
        <v>1</v>
      </c>
      <c r="I485" s="9">
        <f>IF(Source!BC664&lt;&gt; 0, Source!BC664, 1)</f>
        <v>1</v>
      </c>
      <c r="J485" s="21">
        <f>Source!P664</f>
        <v>0.11</v>
      </c>
      <c r="K485" s="21"/>
    </row>
    <row r="486" spans="1:22" ht="14.25" x14ac:dyDescent="0.2">
      <c r="A486" s="18"/>
      <c r="B486" s="18"/>
      <c r="C486" s="18" t="s">
        <v>537</v>
      </c>
      <c r="D486" s="19" t="s">
        <v>538</v>
      </c>
      <c r="E486" s="9">
        <f>Source!AT664</f>
        <v>70</v>
      </c>
      <c r="F486" s="21"/>
      <c r="G486" s="20"/>
      <c r="H486" s="9"/>
      <c r="I486" s="9"/>
      <c r="J486" s="21">
        <f>SUM(R482:R485)</f>
        <v>32.78</v>
      </c>
      <c r="K486" s="21"/>
    </row>
    <row r="487" spans="1:22" ht="14.25" x14ac:dyDescent="0.2">
      <c r="A487" s="18"/>
      <c r="B487" s="18"/>
      <c r="C487" s="18" t="s">
        <v>539</v>
      </c>
      <c r="D487" s="19" t="s">
        <v>538</v>
      </c>
      <c r="E487" s="9">
        <f>Source!AU664</f>
        <v>10</v>
      </c>
      <c r="F487" s="21"/>
      <c r="G487" s="20"/>
      <c r="H487" s="9"/>
      <c r="I487" s="9"/>
      <c r="J487" s="21">
        <f>SUM(T482:T486)</f>
        <v>4.68</v>
      </c>
      <c r="K487" s="21"/>
    </row>
    <row r="488" spans="1:22" ht="14.25" x14ac:dyDescent="0.2">
      <c r="A488" s="18"/>
      <c r="B488" s="18"/>
      <c r="C488" s="18" t="s">
        <v>540</v>
      </c>
      <c r="D488" s="19" t="s">
        <v>541</v>
      </c>
      <c r="E488" s="9">
        <f>Source!AQ664</f>
        <v>3.24</v>
      </c>
      <c r="F488" s="21"/>
      <c r="G488" s="20" t="str">
        <f>Source!DI664</f>
        <v/>
      </c>
      <c r="H488" s="9">
        <f>Source!AV664</f>
        <v>1</v>
      </c>
      <c r="I488" s="9"/>
      <c r="J488" s="21"/>
      <c r="K488" s="21">
        <f>Source!U664</f>
        <v>8.7480000000000002E-2</v>
      </c>
    </row>
    <row r="489" spans="1:22" ht="15" x14ac:dyDescent="0.25">
      <c r="A489" s="24"/>
      <c r="B489" s="24"/>
      <c r="C489" s="24"/>
      <c r="D489" s="24"/>
      <c r="E489" s="24"/>
      <c r="F489" s="24"/>
      <c r="G489" s="24"/>
      <c r="H489" s="24"/>
      <c r="I489" s="44">
        <f>J484+J485+J486+J487</f>
        <v>84.4</v>
      </c>
      <c r="J489" s="44"/>
      <c r="K489" s="25">
        <f>IF(Source!I664&lt;&gt;0, ROUND(I489/Source!I664, 2), 0)</f>
        <v>3125.93</v>
      </c>
      <c r="P489" s="23">
        <f>I489</f>
        <v>84.4</v>
      </c>
    </row>
    <row r="490" spans="1:22" ht="71.25" x14ac:dyDescent="0.2">
      <c r="A490" s="18">
        <v>52</v>
      </c>
      <c r="B490" s="18" t="str">
        <f>Source!F666</f>
        <v>1.21-2103-9-1/1</v>
      </c>
      <c r="C490" s="18" t="str">
        <f>Source!G666</f>
        <v>Техническое обслуживание силовых сетей, проложенных по кирпичным и бетонным основаниям, провод сечением 2х1,5-6 мм2 (Провод медный желто-зеленый ПуГВ 1х6)</v>
      </c>
      <c r="D490" s="19" t="str">
        <f>Source!H666</f>
        <v>100 м</v>
      </c>
      <c r="E490" s="9">
        <f>Source!I666</f>
        <v>0.05</v>
      </c>
      <c r="F490" s="21"/>
      <c r="G490" s="20"/>
      <c r="H490" s="9"/>
      <c r="I490" s="9"/>
      <c r="J490" s="21"/>
      <c r="K490" s="21"/>
      <c r="Q490">
        <f>ROUND((Source!BZ666/100)*ROUND((Source!AF666*Source!AV666)*Source!I666, 2), 2)</f>
        <v>133.78</v>
      </c>
      <c r="R490">
        <f>Source!X666</f>
        <v>133.78</v>
      </c>
      <c r="S490">
        <f>ROUND((Source!CA666/100)*ROUND((Source!AF666*Source!AV666)*Source!I666, 2), 2)</f>
        <v>19.11</v>
      </c>
      <c r="T490">
        <f>Source!Y666</f>
        <v>19.11</v>
      </c>
      <c r="U490">
        <f>ROUND((175/100)*ROUND((Source!AE666*Source!AV666)*Source!I666, 2), 2)</f>
        <v>0</v>
      </c>
      <c r="V490">
        <f>ROUND((108/100)*ROUND(Source!CS666*Source!I666, 2), 2)</f>
        <v>0</v>
      </c>
    </row>
    <row r="491" spans="1:22" x14ac:dyDescent="0.2">
      <c r="C491" s="22" t="str">
        <f>"Объем: "&amp;Source!I666&amp;"=(250)*"&amp;"0,2*"&amp;"0,1/"&amp;"100"</f>
        <v>Объем: 0,05=(250)*0,2*0,1/100</v>
      </c>
    </row>
    <row r="492" spans="1:22" ht="14.25" x14ac:dyDescent="0.2">
      <c r="A492" s="18"/>
      <c r="B492" s="18"/>
      <c r="C492" s="18" t="s">
        <v>536</v>
      </c>
      <c r="D492" s="19"/>
      <c r="E492" s="9"/>
      <c r="F492" s="21">
        <f>Source!AO666</f>
        <v>3822.15</v>
      </c>
      <c r="G492" s="20" t="str">
        <f>Source!DG666</f>
        <v/>
      </c>
      <c r="H492" s="9">
        <f>Source!AV666</f>
        <v>1</v>
      </c>
      <c r="I492" s="9">
        <f>IF(Source!BA666&lt;&gt; 0, Source!BA666, 1)</f>
        <v>1</v>
      </c>
      <c r="J492" s="21">
        <f>Source!S666</f>
        <v>191.11</v>
      </c>
      <c r="K492" s="21"/>
    </row>
    <row r="493" spans="1:22" ht="14.25" x14ac:dyDescent="0.2">
      <c r="A493" s="18"/>
      <c r="B493" s="18"/>
      <c r="C493" s="18" t="s">
        <v>544</v>
      </c>
      <c r="D493" s="19"/>
      <c r="E493" s="9"/>
      <c r="F493" s="21">
        <f>Source!AL666</f>
        <v>22.51</v>
      </c>
      <c r="G493" s="20" t="str">
        <f>Source!DD666</f>
        <v/>
      </c>
      <c r="H493" s="9">
        <f>Source!AW666</f>
        <v>1</v>
      </c>
      <c r="I493" s="9">
        <f>IF(Source!BC666&lt;&gt; 0, Source!BC666, 1)</f>
        <v>1</v>
      </c>
      <c r="J493" s="21">
        <f>Source!P666</f>
        <v>1.1299999999999999</v>
      </c>
      <c r="K493" s="21"/>
    </row>
    <row r="494" spans="1:22" ht="14.25" x14ac:dyDescent="0.2">
      <c r="A494" s="18"/>
      <c r="B494" s="18"/>
      <c r="C494" s="18" t="s">
        <v>537</v>
      </c>
      <c r="D494" s="19" t="s">
        <v>538</v>
      </c>
      <c r="E494" s="9">
        <f>Source!AT666</f>
        <v>70</v>
      </c>
      <c r="F494" s="21"/>
      <c r="G494" s="20"/>
      <c r="H494" s="9"/>
      <c r="I494" s="9"/>
      <c r="J494" s="21">
        <f>SUM(R490:R493)</f>
        <v>133.78</v>
      </c>
      <c r="K494" s="21"/>
    </row>
    <row r="495" spans="1:22" ht="14.25" x14ac:dyDescent="0.2">
      <c r="A495" s="18"/>
      <c r="B495" s="18"/>
      <c r="C495" s="18" t="s">
        <v>539</v>
      </c>
      <c r="D495" s="19" t="s">
        <v>538</v>
      </c>
      <c r="E495" s="9">
        <f>Source!AU666</f>
        <v>10</v>
      </c>
      <c r="F495" s="21"/>
      <c r="G495" s="20"/>
      <c r="H495" s="9"/>
      <c r="I495" s="9"/>
      <c r="J495" s="21">
        <f>SUM(T490:T494)</f>
        <v>19.11</v>
      </c>
      <c r="K495" s="21"/>
    </row>
    <row r="496" spans="1:22" ht="14.25" x14ac:dyDescent="0.2">
      <c r="A496" s="18"/>
      <c r="B496" s="18"/>
      <c r="C496" s="18" t="s">
        <v>540</v>
      </c>
      <c r="D496" s="19" t="s">
        <v>541</v>
      </c>
      <c r="E496" s="9">
        <f>Source!AQ666</f>
        <v>7.14</v>
      </c>
      <c r="F496" s="21"/>
      <c r="G496" s="20" t="str">
        <f>Source!DI666</f>
        <v/>
      </c>
      <c r="H496" s="9">
        <f>Source!AV666</f>
        <v>1</v>
      </c>
      <c r="I496" s="9"/>
      <c r="J496" s="21"/>
      <c r="K496" s="21">
        <f>Source!U666</f>
        <v>0.35699999999999998</v>
      </c>
    </row>
    <row r="497" spans="1:22" ht="15" x14ac:dyDescent="0.25">
      <c r="A497" s="24"/>
      <c r="B497" s="24"/>
      <c r="C497" s="24"/>
      <c r="D497" s="24"/>
      <c r="E497" s="24"/>
      <c r="F497" s="24"/>
      <c r="G497" s="24"/>
      <c r="H497" s="24"/>
      <c r="I497" s="44">
        <f>J492+J493+J494+J495</f>
        <v>345.13</v>
      </c>
      <c r="J497" s="44"/>
      <c r="K497" s="25">
        <f>IF(Source!I666&lt;&gt;0, ROUND(I497/Source!I666, 2), 0)</f>
        <v>6902.6</v>
      </c>
      <c r="P497" s="23">
        <f>I497</f>
        <v>345.13</v>
      </c>
    </row>
    <row r="498" spans="1:22" ht="42.75" x14ac:dyDescent="0.2">
      <c r="A498" s="18">
        <v>53</v>
      </c>
      <c r="B498" s="18" t="str">
        <f>Source!F668</f>
        <v>1.22-2103-2-1/1</v>
      </c>
      <c r="C498" s="18" t="str">
        <f>Source!G668</f>
        <v>Техническое обслуживание сетевой линии связи /Кабель симметричный для интерфейса 1х2х0.67</v>
      </c>
      <c r="D498" s="19" t="str">
        <f>Source!H668</f>
        <v>100 м</v>
      </c>
      <c r="E498" s="9">
        <f>Source!I668</f>
        <v>1.35</v>
      </c>
      <c r="F498" s="21"/>
      <c r="G498" s="20"/>
      <c r="H498" s="9"/>
      <c r="I498" s="9"/>
      <c r="J498" s="21"/>
      <c r="K498" s="21"/>
      <c r="Q498">
        <f>ROUND((Source!BZ668/100)*ROUND((Source!AF668*Source!AV668)*Source!I668, 2), 2)</f>
        <v>469.44</v>
      </c>
      <c r="R498">
        <f>Source!X668</f>
        <v>469.44</v>
      </c>
      <c r="S498">
        <f>ROUND((Source!CA668/100)*ROUND((Source!AF668*Source!AV668)*Source!I668, 2), 2)</f>
        <v>67.06</v>
      </c>
      <c r="T498">
        <f>Source!Y668</f>
        <v>67.06</v>
      </c>
      <c r="U498">
        <f>ROUND((175/100)*ROUND((Source!AE668*Source!AV668)*Source!I668, 2), 2)</f>
        <v>0</v>
      </c>
      <c r="V498">
        <f>ROUND((108/100)*ROUND(Source!CS668*Source!I668, 2), 2)</f>
        <v>0</v>
      </c>
    </row>
    <row r="499" spans="1:22" x14ac:dyDescent="0.2">
      <c r="C499" s="22" t="str">
        <f>"Объем: "&amp;Source!I668&amp;"=(1350)*"&amp;"0,1/"&amp;"100"</f>
        <v>Объем: 1,35=(1350)*0,1/100</v>
      </c>
    </row>
    <row r="500" spans="1:22" ht="14.25" x14ac:dyDescent="0.2">
      <c r="A500" s="18"/>
      <c r="B500" s="18"/>
      <c r="C500" s="18" t="s">
        <v>536</v>
      </c>
      <c r="D500" s="19"/>
      <c r="E500" s="9"/>
      <c r="F500" s="21">
        <f>Source!AO668</f>
        <v>496.76</v>
      </c>
      <c r="G500" s="20" t="str">
        <f>Source!DG668</f>
        <v/>
      </c>
      <c r="H500" s="9">
        <f>Source!AV668</f>
        <v>1</v>
      </c>
      <c r="I500" s="9">
        <f>IF(Source!BA668&lt;&gt; 0, Source!BA668, 1)</f>
        <v>1</v>
      </c>
      <c r="J500" s="21">
        <f>Source!S668</f>
        <v>670.63</v>
      </c>
      <c r="K500" s="21"/>
    </row>
    <row r="501" spans="1:22" ht="14.25" x14ac:dyDescent="0.2">
      <c r="A501" s="18"/>
      <c r="B501" s="18"/>
      <c r="C501" s="18" t="s">
        <v>537</v>
      </c>
      <c r="D501" s="19" t="s">
        <v>538</v>
      </c>
      <c r="E501" s="9">
        <f>Source!AT668</f>
        <v>70</v>
      </c>
      <c r="F501" s="21"/>
      <c r="G501" s="20"/>
      <c r="H501" s="9"/>
      <c r="I501" s="9"/>
      <c r="J501" s="21">
        <f>SUM(R498:R500)</f>
        <v>469.44</v>
      </c>
      <c r="K501" s="21"/>
    </row>
    <row r="502" spans="1:22" ht="14.25" x14ac:dyDescent="0.2">
      <c r="A502" s="18"/>
      <c r="B502" s="18"/>
      <c r="C502" s="18" t="s">
        <v>539</v>
      </c>
      <c r="D502" s="19" t="s">
        <v>538</v>
      </c>
      <c r="E502" s="9">
        <f>Source!AU668</f>
        <v>10</v>
      </c>
      <c r="F502" s="21"/>
      <c r="G502" s="20"/>
      <c r="H502" s="9"/>
      <c r="I502" s="9"/>
      <c r="J502" s="21">
        <f>SUM(T498:T501)</f>
        <v>67.06</v>
      </c>
      <c r="K502" s="21"/>
    </row>
    <row r="503" spans="1:22" ht="14.25" x14ac:dyDescent="0.2">
      <c r="A503" s="18"/>
      <c r="B503" s="18"/>
      <c r="C503" s="18" t="s">
        <v>540</v>
      </c>
      <c r="D503" s="19" t="s">
        <v>541</v>
      </c>
      <c r="E503" s="9">
        <f>Source!AQ668</f>
        <v>0.7</v>
      </c>
      <c r="F503" s="21"/>
      <c r="G503" s="20" t="str">
        <f>Source!DI668</f>
        <v/>
      </c>
      <c r="H503" s="9">
        <f>Source!AV668</f>
        <v>1</v>
      </c>
      <c r="I503" s="9"/>
      <c r="J503" s="21"/>
      <c r="K503" s="21">
        <f>Source!U668</f>
        <v>0.94499999999999995</v>
      </c>
    </row>
    <row r="504" spans="1:22" ht="15" x14ac:dyDescent="0.25">
      <c r="A504" s="24"/>
      <c r="B504" s="24"/>
      <c r="C504" s="24"/>
      <c r="D504" s="24"/>
      <c r="E504" s="24"/>
      <c r="F504" s="24"/>
      <c r="G504" s="24"/>
      <c r="H504" s="24"/>
      <c r="I504" s="44">
        <f>J500+J501+J502</f>
        <v>1207.1299999999999</v>
      </c>
      <c r="J504" s="44"/>
      <c r="K504" s="25">
        <f>IF(Source!I668&lt;&gt;0, ROUND(I504/Source!I668, 2), 0)</f>
        <v>894.17</v>
      </c>
      <c r="P504" s="23">
        <f>I504</f>
        <v>1207.1299999999999</v>
      </c>
    </row>
    <row r="505" spans="1:22" ht="71.25" x14ac:dyDescent="0.2">
      <c r="A505" s="18">
        <v>54</v>
      </c>
      <c r="B505" s="18" t="str">
        <f>Source!F669</f>
        <v>1.21-2103-9-7/1</v>
      </c>
      <c r="C505" s="18" t="str">
        <f>Source!G669</f>
        <v>Техническое обслуживание силовых сетей, проложенных по кирпичным и бетонным основаниям, провод сечением 3х25-35 мм2 (Провод медный желто-зеленый ПуГВ 1х25)</v>
      </c>
      <c r="D505" s="19" t="str">
        <f>Source!H669</f>
        <v>100 м</v>
      </c>
      <c r="E505" s="9">
        <f>Source!I669</f>
        <v>8.5999999999999993E-2</v>
      </c>
      <c r="F505" s="21"/>
      <c r="G505" s="20"/>
      <c r="H505" s="9"/>
      <c r="I505" s="9"/>
      <c r="J505" s="21"/>
      <c r="K505" s="21"/>
      <c r="Q505">
        <f>ROUND((Source!BZ669/100)*ROUND((Source!AF669*Source!AV669)*Source!I669, 2), 2)</f>
        <v>469.85</v>
      </c>
      <c r="R505">
        <f>Source!X669</f>
        <v>469.85</v>
      </c>
      <c r="S505">
        <f>ROUND((Source!CA669/100)*ROUND((Source!AF669*Source!AV669)*Source!I669, 2), 2)</f>
        <v>67.12</v>
      </c>
      <c r="T505">
        <f>Source!Y669</f>
        <v>67.12</v>
      </c>
      <c r="U505">
        <f>ROUND((175/100)*ROUND((Source!AE669*Source!AV669)*Source!I669, 2), 2)</f>
        <v>0</v>
      </c>
      <c r="V505">
        <f>ROUND((108/100)*ROUND(Source!CS669*Source!I669, 2), 2)</f>
        <v>0</v>
      </c>
    </row>
    <row r="506" spans="1:22" x14ac:dyDescent="0.2">
      <c r="C506" s="22" t="str">
        <f>"Объем: "&amp;Source!I669&amp;"=(430)*"&amp;"0,2*"&amp;"0,1/"&amp;"100"</f>
        <v>Объем: 0,086=(430)*0,2*0,1/100</v>
      </c>
    </row>
    <row r="507" spans="1:22" ht="14.25" x14ac:dyDescent="0.2">
      <c r="A507" s="18"/>
      <c r="B507" s="18"/>
      <c r="C507" s="18" t="s">
        <v>536</v>
      </c>
      <c r="D507" s="19"/>
      <c r="E507" s="9"/>
      <c r="F507" s="21">
        <f>Source!AO669</f>
        <v>7804.89</v>
      </c>
      <c r="G507" s="20" t="str">
        <f>Source!DG669</f>
        <v/>
      </c>
      <c r="H507" s="9">
        <f>Source!AV669</f>
        <v>1</v>
      </c>
      <c r="I507" s="9">
        <f>IF(Source!BA669&lt;&gt; 0, Source!BA669, 1)</f>
        <v>1</v>
      </c>
      <c r="J507" s="21">
        <f>Source!S669</f>
        <v>671.22</v>
      </c>
      <c r="K507" s="21"/>
    </row>
    <row r="508" spans="1:22" ht="14.25" x14ac:dyDescent="0.2">
      <c r="A508" s="18"/>
      <c r="B508" s="18"/>
      <c r="C508" s="18" t="s">
        <v>544</v>
      </c>
      <c r="D508" s="19"/>
      <c r="E508" s="9"/>
      <c r="F508" s="21">
        <f>Source!AL669</f>
        <v>19.13</v>
      </c>
      <c r="G508" s="20" t="str">
        <f>Source!DD669</f>
        <v/>
      </c>
      <c r="H508" s="9">
        <f>Source!AW669</f>
        <v>1</v>
      </c>
      <c r="I508" s="9">
        <f>IF(Source!BC669&lt;&gt; 0, Source!BC669, 1)</f>
        <v>1</v>
      </c>
      <c r="J508" s="21">
        <f>Source!P669</f>
        <v>1.65</v>
      </c>
      <c r="K508" s="21"/>
    </row>
    <row r="509" spans="1:22" ht="14.25" x14ac:dyDescent="0.2">
      <c r="A509" s="18"/>
      <c r="B509" s="18"/>
      <c r="C509" s="18" t="s">
        <v>537</v>
      </c>
      <c r="D509" s="19" t="s">
        <v>538</v>
      </c>
      <c r="E509" s="9">
        <f>Source!AT669</f>
        <v>70</v>
      </c>
      <c r="F509" s="21"/>
      <c r="G509" s="20"/>
      <c r="H509" s="9"/>
      <c r="I509" s="9"/>
      <c r="J509" s="21">
        <f>SUM(R505:R508)</f>
        <v>469.85</v>
      </c>
      <c r="K509" s="21"/>
    </row>
    <row r="510" spans="1:22" ht="14.25" x14ac:dyDescent="0.2">
      <c r="A510" s="18"/>
      <c r="B510" s="18"/>
      <c r="C510" s="18" t="s">
        <v>539</v>
      </c>
      <c r="D510" s="19" t="s">
        <v>538</v>
      </c>
      <c r="E510" s="9">
        <f>Source!AU669</f>
        <v>10</v>
      </c>
      <c r="F510" s="21"/>
      <c r="G510" s="20"/>
      <c r="H510" s="9"/>
      <c r="I510" s="9"/>
      <c r="J510" s="21">
        <f>SUM(T505:T509)</f>
        <v>67.12</v>
      </c>
      <c r="K510" s="21"/>
    </row>
    <row r="511" spans="1:22" ht="14.25" x14ac:dyDescent="0.2">
      <c r="A511" s="18"/>
      <c r="B511" s="18"/>
      <c r="C511" s="18" t="s">
        <v>540</v>
      </c>
      <c r="D511" s="19" t="s">
        <v>541</v>
      </c>
      <c r="E511" s="9">
        <f>Source!AQ669</f>
        <v>14.58</v>
      </c>
      <c r="F511" s="21"/>
      <c r="G511" s="20" t="str">
        <f>Source!DI669</f>
        <v/>
      </c>
      <c r="H511" s="9">
        <f>Source!AV669</f>
        <v>1</v>
      </c>
      <c r="I511" s="9"/>
      <c r="J511" s="21"/>
      <c r="K511" s="21">
        <f>Source!U669</f>
        <v>1.2538799999999999</v>
      </c>
    </row>
    <row r="512" spans="1:22" ht="15" x14ac:dyDescent="0.25">
      <c r="A512" s="24"/>
      <c r="B512" s="24"/>
      <c r="C512" s="24"/>
      <c r="D512" s="24"/>
      <c r="E512" s="24"/>
      <c r="F512" s="24"/>
      <c r="G512" s="24"/>
      <c r="H512" s="24"/>
      <c r="I512" s="44">
        <f>J507+J508+J509+J510</f>
        <v>1209.8400000000001</v>
      </c>
      <c r="J512" s="44"/>
      <c r="K512" s="25">
        <f>IF(Source!I669&lt;&gt;0, ROUND(I512/Source!I669, 2), 0)</f>
        <v>14067.91</v>
      </c>
      <c r="P512" s="23">
        <f>I512</f>
        <v>1209.8400000000001</v>
      </c>
    </row>
    <row r="513" spans="1:22" ht="85.5" x14ac:dyDescent="0.2">
      <c r="A513" s="18">
        <v>55</v>
      </c>
      <c r="B513" s="18" t="str">
        <f>Source!F670</f>
        <v>1.21-2103-9-8/1</v>
      </c>
      <c r="C513" s="18" t="str">
        <f>Source!G670</f>
        <v>Техническое обслуживание силовых сетей, проложенных по кирпичным и бетонным основаниям, добавлять на каждый следующий провод к поз. 21-2103-9-7  (Провод медный желто-зеленый ПуГВ 1х25)</v>
      </c>
      <c r="D513" s="19" t="str">
        <f>Source!H670</f>
        <v>100 м</v>
      </c>
      <c r="E513" s="9">
        <f>Source!I670</f>
        <v>8.5999999999999993E-2</v>
      </c>
      <c r="F513" s="21"/>
      <c r="G513" s="20"/>
      <c r="H513" s="9"/>
      <c r="I513" s="9"/>
      <c r="J513" s="21"/>
      <c r="K513" s="21"/>
      <c r="Q513">
        <f>ROUND((Source!BZ670/100)*ROUND((Source!AF670*Source!AV670)*Source!I670, 2), 2)</f>
        <v>104.41</v>
      </c>
      <c r="R513">
        <f>Source!X670</f>
        <v>104.41</v>
      </c>
      <c r="S513">
        <f>ROUND((Source!CA670/100)*ROUND((Source!AF670*Source!AV670)*Source!I670, 2), 2)</f>
        <v>14.92</v>
      </c>
      <c r="T513">
        <f>Source!Y670</f>
        <v>14.92</v>
      </c>
      <c r="U513">
        <f>ROUND((175/100)*ROUND((Source!AE670*Source!AV670)*Source!I670, 2), 2)</f>
        <v>0</v>
      </c>
      <c r="V513">
        <f>ROUND((108/100)*ROUND(Source!CS670*Source!I670, 2), 2)</f>
        <v>0</v>
      </c>
    </row>
    <row r="514" spans="1:22" x14ac:dyDescent="0.2">
      <c r="C514" s="22" t="str">
        <f>"Объем: "&amp;Source!I670&amp;"=(430)*"&amp;"0,2*"&amp;"0,1/"&amp;"100"</f>
        <v>Объем: 0,086=(430)*0,2*0,1/100</v>
      </c>
    </row>
    <row r="515" spans="1:22" ht="14.25" x14ac:dyDescent="0.2">
      <c r="A515" s="18"/>
      <c r="B515" s="18"/>
      <c r="C515" s="18" t="s">
        <v>536</v>
      </c>
      <c r="D515" s="19"/>
      <c r="E515" s="9"/>
      <c r="F515" s="21">
        <f>Source!AO670</f>
        <v>1734.42</v>
      </c>
      <c r="G515" s="20" t="str">
        <f>Source!DG670</f>
        <v/>
      </c>
      <c r="H515" s="9">
        <f>Source!AV670</f>
        <v>1</v>
      </c>
      <c r="I515" s="9">
        <f>IF(Source!BA670&lt;&gt; 0, Source!BA670, 1)</f>
        <v>1</v>
      </c>
      <c r="J515" s="21">
        <f>Source!S670</f>
        <v>149.16</v>
      </c>
      <c r="K515" s="21"/>
    </row>
    <row r="516" spans="1:22" ht="14.25" x14ac:dyDescent="0.2">
      <c r="A516" s="18"/>
      <c r="B516" s="18"/>
      <c r="C516" s="18" t="s">
        <v>544</v>
      </c>
      <c r="D516" s="19"/>
      <c r="E516" s="9"/>
      <c r="F516" s="21">
        <f>Source!AL670</f>
        <v>4.13</v>
      </c>
      <c r="G516" s="20" t="str">
        <f>Source!DD670</f>
        <v/>
      </c>
      <c r="H516" s="9">
        <f>Source!AW670</f>
        <v>1</v>
      </c>
      <c r="I516" s="9">
        <f>IF(Source!BC670&lt;&gt; 0, Source!BC670, 1)</f>
        <v>1</v>
      </c>
      <c r="J516" s="21">
        <f>Source!P670</f>
        <v>0.36</v>
      </c>
      <c r="K516" s="21"/>
    </row>
    <row r="517" spans="1:22" ht="14.25" x14ac:dyDescent="0.2">
      <c r="A517" s="18"/>
      <c r="B517" s="18"/>
      <c r="C517" s="18" t="s">
        <v>537</v>
      </c>
      <c r="D517" s="19" t="s">
        <v>538</v>
      </c>
      <c r="E517" s="9">
        <f>Source!AT670</f>
        <v>70</v>
      </c>
      <c r="F517" s="21"/>
      <c r="G517" s="20"/>
      <c r="H517" s="9"/>
      <c r="I517" s="9"/>
      <c r="J517" s="21">
        <f>SUM(R513:R516)</f>
        <v>104.41</v>
      </c>
      <c r="K517" s="21"/>
    </row>
    <row r="518" spans="1:22" ht="14.25" x14ac:dyDescent="0.2">
      <c r="A518" s="18"/>
      <c r="B518" s="18"/>
      <c r="C518" s="18" t="s">
        <v>539</v>
      </c>
      <c r="D518" s="19" t="s">
        <v>538</v>
      </c>
      <c r="E518" s="9">
        <f>Source!AU670</f>
        <v>10</v>
      </c>
      <c r="F518" s="21"/>
      <c r="G518" s="20"/>
      <c r="H518" s="9"/>
      <c r="I518" s="9"/>
      <c r="J518" s="21">
        <f>SUM(T513:T517)</f>
        <v>14.92</v>
      </c>
      <c r="K518" s="21"/>
    </row>
    <row r="519" spans="1:22" ht="14.25" x14ac:dyDescent="0.2">
      <c r="A519" s="18"/>
      <c r="B519" s="18"/>
      <c r="C519" s="18" t="s">
        <v>540</v>
      </c>
      <c r="D519" s="19" t="s">
        <v>541</v>
      </c>
      <c r="E519" s="9">
        <f>Source!AQ670</f>
        <v>3.24</v>
      </c>
      <c r="F519" s="21"/>
      <c r="G519" s="20" t="str">
        <f>Source!DI670</f>
        <v/>
      </c>
      <c r="H519" s="9">
        <f>Source!AV670</f>
        <v>1</v>
      </c>
      <c r="I519" s="9"/>
      <c r="J519" s="21"/>
      <c r="K519" s="21">
        <f>Source!U670</f>
        <v>0.27864</v>
      </c>
    </row>
    <row r="520" spans="1:22" ht="15" x14ac:dyDescent="0.25">
      <c r="A520" s="24"/>
      <c r="B520" s="24"/>
      <c r="C520" s="24"/>
      <c r="D520" s="24"/>
      <c r="E520" s="24"/>
      <c r="F520" s="24"/>
      <c r="G520" s="24"/>
      <c r="H520" s="24"/>
      <c r="I520" s="44">
        <f>J515+J516+J517+J518</f>
        <v>268.85000000000002</v>
      </c>
      <c r="J520" s="44"/>
      <c r="K520" s="25">
        <f>IF(Source!I670&lt;&gt;0, ROUND(I520/Source!I670, 2), 0)</f>
        <v>3126.16</v>
      </c>
      <c r="P520" s="23">
        <f>I520</f>
        <v>268.85000000000002</v>
      </c>
    </row>
    <row r="521" spans="1:22" ht="28.5" x14ac:dyDescent="0.2">
      <c r="A521" s="18">
        <v>56</v>
      </c>
      <c r="B521" s="18" t="str">
        <f>Source!F671</f>
        <v>1.22-2103-2-1/1</v>
      </c>
      <c r="C521" s="18" t="str">
        <f>Source!G671</f>
        <v>Техническое обслуживание сетевой линии связи/ Кабель витая пара</v>
      </c>
      <c r="D521" s="19" t="str">
        <f>Source!H671</f>
        <v>100 м</v>
      </c>
      <c r="E521" s="9">
        <f>Source!I671</f>
        <v>0.25</v>
      </c>
      <c r="F521" s="21"/>
      <c r="G521" s="20"/>
      <c r="H521" s="9"/>
      <c r="I521" s="9"/>
      <c r="J521" s="21"/>
      <c r="K521" s="21"/>
      <c r="Q521">
        <f>ROUND((Source!BZ671/100)*ROUND((Source!AF671*Source!AV671)*Source!I671, 2), 2)</f>
        <v>86.93</v>
      </c>
      <c r="R521">
        <f>Source!X671</f>
        <v>86.93</v>
      </c>
      <c r="S521">
        <f>ROUND((Source!CA671/100)*ROUND((Source!AF671*Source!AV671)*Source!I671, 2), 2)</f>
        <v>12.42</v>
      </c>
      <c r="T521">
        <f>Source!Y671</f>
        <v>12.42</v>
      </c>
      <c r="U521">
        <f>ROUND((175/100)*ROUND((Source!AE671*Source!AV671)*Source!I671, 2), 2)</f>
        <v>0</v>
      </c>
      <c r="V521">
        <f>ROUND((108/100)*ROUND(Source!CS671*Source!I671, 2), 2)</f>
        <v>0</v>
      </c>
    </row>
    <row r="522" spans="1:22" x14ac:dyDescent="0.2">
      <c r="C522" s="22" t="str">
        <f>"Объем: "&amp;Source!I671&amp;"=250*"&amp;"0,1/"&amp;"100"</f>
        <v>Объем: 0,25=250*0,1/100</v>
      </c>
    </row>
    <row r="523" spans="1:22" ht="14.25" x14ac:dyDescent="0.2">
      <c r="A523" s="18"/>
      <c r="B523" s="18"/>
      <c r="C523" s="18" t="s">
        <v>536</v>
      </c>
      <c r="D523" s="19"/>
      <c r="E523" s="9"/>
      <c r="F523" s="21">
        <f>Source!AO671</f>
        <v>496.76</v>
      </c>
      <c r="G523" s="20" t="str">
        <f>Source!DG671</f>
        <v/>
      </c>
      <c r="H523" s="9">
        <f>Source!AV671</f>
        <v>1</v>
      </c>
      <c r="I523" s="9">
        <f>IF(Source!BA671&lt;&gt; 0, Source!BA671, 1)</f>
        <v>1</v>
      </c>
      <c r="J523" s="21">
        <f>Source!S671</f>
        <v>124.19</v>
      </c>
      <c r="K523" s="21"/>
    </row>
    <row r="524" spans="1:22" ht="14.25" x14ac:dyDescent="0.2">
      <c r="A524" s="18"/>
      <c r="B524" s="18"/>
      <c r="C524" s="18" t="s">
        <v>537</v>
      </c>
      <c r="D524" s="19" t="s">
        <v>538</v>
      </c>
      <c r="E524" s="9">
        <f>Source!AT671</f>
        <v>70</v>
      </c>
      <c r="F524" s="21"/>
      <c r="G524" s="20"/>
      <c r="H524" s="9"/>
      <c r="I524" s="9"/>
      <c r="J524" s="21">
        <f>SUM(R521:R523)</f>
        <v>86.93</v>
      </c>
      <c r="K524" s="21"/>
    </row>
    <row r="525" spans="1:22" ht="14.25" x14ac:dyDescent="0.2">
      <c r="A525" s="18"/>
      <c r="B525" s="18"/>
      <c r="C525" s="18" t="s">
        <v>539</v>
      </c>
      <c r="D525" s="19" t="s">
        <v>538</v>
      </c>
      <c r="E525" s="9">
        <f>Source!AU671</f>
        <v>10</v>
      </c>
      <c r="F525" s="21"/>
      <c r="G525" s="20"/>
      <c r="H525" s="9"/>
      <c r="I525" s="9"/>
      <c r="J525" s="21">
        <f>SUM(T521:T524)</f>
        <v>12.42</v>
      </c>
      <c r="K525" s="21"/>
    </row>
    <row r="526" spans="1:22" ht="14.25" x14ac:dyDescent="0.2">
      <c r="A526" s="18"/>
      <c r="B526" s="18"/>
      <c r="C526" s="18" t="s">
        <v>540</v>
      </c>
      <c r="D526" s="19" t="s">
        <v>541</v>
      </c>
      <c r="E526" s="9">
        <f>Source!AQ671</f>
        <v>0.7</v>
      </c>
      <c r="F526" s="21"/>
      <c r="G526" s="20" t="str">
        <f>Source!DI671</f>
        <v/>
      </c>
      <c r="H526" s="9">
        <f>Source!AV671</f>
        <v>1</v>
      </c>
      <c r="I526" s="9"/>
      <c r="J526" s="21"/>
      <c r="K526" s="21">
        <f>Source!U671</f>
        <v>0.17499999999999999</v>
      </c>
    </row>
    <row r="527" spans="1:22" ht="15" x14ac:dyDescent="0.25">
      <c r="A527" s="24"/>
      <c r="B527" s="24"/>
      <c r="C527" s="24"/>
      <c r="D527" s="24"/>
      <c r="E527" s="24"/>
      <c r="F527" s="24"/>
      <c r="G527" s="24"/>
      <c r="H527" s="24"/>
      <c r="I527" s="44">
        <f>J523+J524+J525</f>
        <v>223.54</v>
      </c>
      <c r="J527" s="44"/>
      <c r="K527" s="25">
        <f>IF(Source!I671&lt;&gt;0, ROUND(I527/Source!I671, 2), 0)</f>
        <v>894.16</v>
      </c>
      <c r="P527" s="23">
        <f>I527</f>
        <v>223.54</v>
      </c>
    </row>
    <row r="529" spans="1:11" ht="15" x14ac:dyDescent="0.25">
      <c r="A529" s="43" t="str">
        <f>CONCATENATE("Итого по подразделу: ",IF(Source!G673&lt;&gt;"Новый подраздел", Source!G673, ""))</f>
        <v>Итого по подразделу: Кабели и провода</v>
      </c>
      <c r="B529" s="43"/>
      <c r="C529" s="43"/>
      <c r="D529" s="43"/>
      <c r="E529" s="43"/>
      <c r="F529" s="43"/>
      <c r="G529" s="43"/>
      <c r="H529" s="43"/>
      <c r="I529" s="41">
        <f>SUM(P433:P528)</f>
        <v>16818.509999999998</v>
      </c>
      <c r="J529" s="42"/>
      <c r="K529" s="27"/>
    </row>
    <row r="532" spans="1:11" ht="15" x14ac:dyDescent="0.25">
      <c r="A532" s="43" t="str">
        <f>CONCATENATE("Итого по разделу: ",IF(Source!G703&lt;&gt;"Новый раздел", Source!G703, ""))</f>
        <v>Итого по разделу: Электроснабжение и электроосвещение</v>
      </c>
      <c r="B532" s="43"/>
      <c r="C532" s="43"/>
      <c r="D532" s="43"/>
      <c r="E532" s="43"/>
      <c r="F532" s="43"/>
      <c r="G532" s="43"/>
      <c r="H532" s="43"/>
      <c r="I532" s="41">
        <f>SUM(P182:P531)</f>
        <v>655472.31999999983</v>
      </c>
      <c r="J532" s="42"/>
      <c r="K532" s="27"/>
    </row>
    <row r="535" spans="1:11" ht="15" x14ac:dyDescent="0.25">
      <c r="A535" s="43" t="str">
        <f>CONCATENATE("Итого по локальной смете: ",IF(Source!G733&lt;&gt;"Новая локальная смета", Source!G733, ""))</f>
        <v xml:space="preserve">Итого по локальной смете: </v>
      </c>
      <c r="B535" s="43"/>
      <c r="C535" s="43"/>
      <c r="D535" s="43"/>
      <c r="E535" s="43"/>
      <c r="F535" s="43"/>
      <c r="G535" s="43"/>
      <c r="H535" s="43"/>
      <c r="I535" s="41">
        <f>SUM(P32:P534)</f>
        <v>766025.37999999989</v>
      </c>
      <c r="J535" s="42"/>
      <c r="K535" s="27"/>
    </row>
    <row r="538" spans="1:11" ht="15" x14ac:dyDescent="0.25">
      <c r="A538" s="43" t="str">
        <f>CONCATENATE("Итого по смете: ",IF(Source!G763&lt;&gt;"Новый объект", Source!G763, ""))</f>
        <v>Итого по смете: Паркинг 2_на 4 мес. (10%)</v>
      </c>
      <c r="B538" s="43"/>
      <c r="C538" s="43"/>
      <c r="D538" s="43"/>
      <c r="E538" s="43"/>
      <c r="F538" s="43"/>
      <c r="G538" s="43"/>
      <c r="H538" s="43"/>
      <c r="I538" s="41">
        <f>SUM(P1:P537)</f>
        <v>766025.37999999989</v>
      </c>
      <c r="J538" s="42"/>
      <c r="K538" s="27"/>
    </row>
    <row r="539" spans="1:11" ht="14.25" x14ac:dyDescent="0.2">
      <c r="C539" s="37" t="str">
        <f>Source!H792</f>
        <v>Итого</v>
      </c>
      <c r="D539" s="37"/>
      <c r="E539" s="37"/>
      <c r="F539" s="37"/>
      <c r="G539" s="37"/>
      <c r="H539" s="37"/>
      <c r="I539" s="38">
        <f>IF(Source!F792=0, "", Source!F792)</f>
        <v>766025.38</v>
      </c>
      <c r="J539" s="38"/>
    </row>
    <row r="540" spans="1:11" ht="14.25" x14ac:dyDescent="0.2">
      <c r="C540" s="37" t="str">
        <f>Source!H793</f>
        <v>НДС, 22%</v>
      </c>
      <c r="D540" s="37"/>
      <c r="E540" s="37"/>
      <c r="F540" s="37"/>
      <c r="G540" s="37"/>
      <c r="H540" s="37"/>
      <c r="I540" s="38">
        <f>IF(Source!F793=0, "", Source!F793)</f>
        <v>168525.58</v>
      </c>
      <c r="J540" s="38"/>
    </row>
    <row r="541" spans="1:11" ht="14.25" x14ac:dyDescent="0.2">
      <c r="C541" s="37" t="str">
        <f>Source!H794</f>
        <v>Всего с НДС</v>
      </c>
      <c r="D541" s="37"/>
      <c r="E541" s="37"/>
      <c r="F541" s="37"/>
      <c r="G541" s="37"/>
      <c r="H541" s="37"/>
      <c r="I541" s="38">
        <f>IF(Source!F794=0, "", Source!F794)</f>
        <v>934550.96</v>
      </c>
      <c r="J541" s="38"/>
    </row>
    <row r="544" spans="1:11" ht="14.25" x14ac:dyDescent="0.2">
      <c r="A544" s="39" t="s">
        <v>553</v>
      </c>
      <c r="B544" s="39"/>
      <c r="C544" s="28" t="str">
        <f>IF(Source!AC12&lt;&gt;"", Source!AC12," ")</f>
        <v xml:space="preserve"> </v>
      </c>
      <c r="D544" s="28"/>
      <c r="E544" s="28"/>
      <c r="F544" s="28"/>
      <c r="G544" s="28"/>
      <c r="H544" s="10" t="str">
        <f>IF(Source!AB12&lt;&gt;"", Source!AB12," ")</f>
        <v xml:space="preserve"> </v>
      </c>
      <c r="I544" s="10"/>
      <c r="J544" s="10"/>
      <c r="K544" s="10"/>
    </row>
    <row r="545" spans="1:11" ht="14.25" x14ac:dyDescent="0.2">
      <c r="A545" s="10"/>
      <c r="B545" s="10"/>
      <c r="C545" s="40" t="s">
        <v>554</v>
      </c>
      <c r="D545" s="40"/>
      <c r="E545" s="40"/>
      <c r="F545" s="40"/>
      <c r="G545" s="40"/>
      <c r="H545" s="10"/>
      <c r="I545" s="10"/>
      <c r="J545" s="10"/>
      <c r="K545" s="10"/>
    </row>
    <row r="546" spans="1:11" ht="14.25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</row>
    <row r="547" spans="1:11" ht="14.25" x14ac:dyDescent="0.2">
      <c r="A547" s="39" t="s">
        <v>555</v>
      </c>
      <c r="B547" s="39"/>
      <c r="C547" s="28" t="str">
        <f>IF(Source!AE12&lt;&gt;"", Source!AE12," ")</f>
        <v xml:space="preserve"> </v>
      </c>
      <c r="D547" s="28"/>
      <c r="E547" s="28"/>
      <c r="F547" s="28"/>
      <c r="G547" s="28"/>
      <c r="H547" s="10" t="str">
        <f>IF(Source!AD12&lt;&gt;"", Source!AD12," ")</f>
        <v xml:space="preserve"> </v>
      </c>
      <c r="I547" s="10"/>
      <c r="J547" s="10"/>
      <c r="K547" s="10"/>
    </row>
    <row r="548" spans="1:11" ht="14.25" x14ac:dyDescent="0.2">
      <c r="A548" s="10"/>
      <c r="B548" s="10"/>
      <c r="C548" s="40" t="s">
        <v>554</v>
      </c>
      <c r="D548" s="40"/>
      <c r="E548" s="40"/>
      <c r="F548" s="40"/>
      <c r="G548" s="40"/>
      <c r="H548" s="10"/>
      <c r="I548" s="10"/>
      <c r="J548" s="10"/>
      <c r="K548" s="10"/>
    </row>
  </sheetData>
  <mergeCells count="144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50:J50"/>
    <mergeCell ref="I60:J60"/>
    <mergeCell ref="I62:J62"/>
    <mergeCell ref="A62:H62"/>
    <mergeCell ref="A65:K65"/>
    <mergeCell ref="I76:J76"/>
    <mergeCell ref="I27:I29"/>
    <mergeCell ref="J27:J29"/>
    <mergeCell ref="A32:K32"/>
    <mergeCell ref="A34:K34"/>
    <mergeCell ref="A36:K36"/>
    <mergeCell ref="I43:J43"/>
    <mergeCell ref="I117:J117"/>
    <mergeCell ref="A117:H117"/>
    <mergeCell ref="A120:K120"/>
    <mergeCell ref="A122:K122"/>
    <mergeCell ref="I131:J131"/>
    <mergeCell ref="I133:J133"/>
    <mergeCell ref="A133:H133"/>
    <mergeCell ref="I87:J87"/>
    <mergeCell ref="I97:J97"/>
    <mergeCell ref="I104:J104"/>
    <mergeCell ref="I112:J112"/>
    <mergeCell ref="I114:J114"/>
    <mergeCell ref="A114:H114"/>
    <mergeCell ref="I164:J164"/>
    <mergeCell ref="I174:J174"/>
    <mergeCell ref="I176:J176"/>
    <mergeCell ref="A176:H176"/>
    <mergeCell ref="I179:J179"/>
    <mergeCell ref="A179:H179"/>
    <mergeCell ref="I136:J136"/>
    <mergeCell ref="A136:H136"/>
    <mergeCell ref="A139:K139"/>
    <mergeCell ref="A141:K141"/>
    <mergeCell ref="I148:J148"/>
    <mergeCell ref="I155:J155"/>
    <mergeCell ref="I223:J223"/>
    <mergeCell ref="I231:J231"/>
    <mergeCell ref="I239:J239"/>
    <mergeCell ref="I245:J245"/>
    <mergeCell ref="I252:J252"/>
    <mergeCell ref="I260:J260"/>
    <mergeCell ref="A182:K182"/>
    <mergeCell ref="A184:K184"/>
    <mergeCell ref="I191:J191"/>
    <mergeCell ref="I199:J199"/>
    <mergeCell ref="I209:J209"/>
    <mergeCell ref="I216:J216"/>
    <mergeCell ref="I308:J308"/>
    <mergeCell ref="I315:J315"/>
    <mergeCell ref="I323:J323"/>
    <mergeCell ref="I330:J330"/>
    <mergeCell ref="I332:J332"/>
    <mergeCell ref="A332:H332"/>
    <mergeCell ref="I266:J266"/>
    <mergeCell ref="I273:J273"/>
    <mergeCell ref="I281:J281"/>
    <mergeCell ref="I287:J287"/>
    <mergeCell ref="I294:J294"/>
    <mergeCell ref="I302:J302"/>
    <mergeCell ref="A430:H430"/>
    <mergeCell ref="A433:K433"/>
    <mergeCell ref="I383:J383"/>
    <mergeCell ref="I385:J385"/>
    <mergeCell ref="A385:H385"/>
    <mergeCell ref="A388:K388"/>
    <mergeCell ref="I399:J399"/>
    <mergeCell ref="I407:J407"/>
    <mergeCell ref="A335:K335"/>
    <mergeCell ref="I342:J342"/>
    <mergeCell ref="I350:J350"/>
    <mergeCell ref="I358:J358"/>
    <mergeCell ref="I365:J365"/>
    <mergeCell ref="I373:J373"/>
    <mergeCell ref="I441:J441"/>
    <mergeCell ref="I449:J449"/>
    <mergeCell ref="I457:J457"/>
    <mergeCell ref="I465:J465"/>
    <mergeCell ref="I473:J473"/>
    <mergeCell ref="I481:J481"/>
    <mergeCell ref="I414:J414"/>
    <mergeCell ref="I421:J421"/>
    <mergeCell ref="I428:J428"/>
    <mergeCell ref="I430:J430"/>
    <mergeCell ref="I529:J529"/>
    <mergeCell ref="A529:H529"/>
    <mergeCell ref="I532:J532"/>
    <mergeCell ref="A532:H532"/>
    <mergeCell ref="I535:J535"/>
    <mergeCell ref="A535:H535"/>
    <mergeCell ref="I489:J489"/>
    <mergeCell ref="I497:J497"/>
    <mergeCell ref="I504:J504"/>
    <mergeCell ref="I512:J512"/>
    <mergeCell ref="I520:J520"/>
    <mergeCell ref="I527:J527"/>
    <mergeCell ref="C541:H541"/>
    <mergeCell ref="I541:J541"/>
    <mergeCell ref="A544:B544"/>
    <mergeCell ref="C545:G545"/>
    <mergeCell ref="A547:B547"/>
    <mergeCell ref="C548:G548"/>
    <mergeCell ref="I538:J538"/>
    <mergeCell ref="A538:H538"/>
    <mergeCell ref="C539:H539"/>
    <mergeCell ref="I539:J539"/>
    <mergeCell ref="C540:H540"/>
    <mergeCell ref="I540:J540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54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7"/>
      <c r="D2" s="27"/>
      <c r="E2" s="27"/>
      <c r="F2" s="10"/>
      <c r="G2" s="10"/>
      <c r="H2" s="10"/>
      <c r="I2" s="70" t="s">
        <v>556</v>
      </c>
      <c r="J2" s="70"/>
      <c r="K2" s="70"/>
      <c r="L2" s="70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0" t="s">
        <v>557</v>
      </c>
      <c r="J3" s="70"/>
      <c r="K3" s="70"/>
      <c r="L3" s="70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0" t="s">
        <v>558</v>
      </c>
      <c r="J4" s="70"/>
      <c r="K4" s="70"/>
      <c r="L4" s="70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0" t="s">
        <v>559</v>
      </c>
      <c r="K6" s="60"/>
      <c r="L6" s="60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560</v>
      </c>
      <c r="J7" s="71" t="s">
        <v>561</v>
      </c>
      <c r="K7" s="71"/>
      <c r="L7" s="71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0" t="str">
        <f>IF(Source!AT15 &lt;&gt; "", Source!AT15, "")</f>
        <v/>
      </c>
      <c r="K8" s="60"/>
      <c r="L8" s="60"/>
    </row>
    <row r="9" spans="1:12" ht="14.25" x14ac:dyDescent="0.2">
      <c r="A9" s="10" t="s">
        <v>562</v>
      </c>
      <c r="B9" s="10"/>
      <c r="C9" s="69" t="str">
        <f>IF(Source!BA15 &lt;&gt; "", Source!BA15, IF(Source!AU15 &lt;&gt; "", Source!AU15, ""))</f>
        <v/>
      </c>
      <c r="D9" s="69"/>
      <c r="E9" s="69"/>
      <c r="F9" s="69"/>
      <c r="G9" s="69"/>
      <c r="H9" s="69"/>
      <c r="I9" s="9" t="s">
        <v>563</v>
      </c>
      <c r="J9" s="60"/>
      <c r="K9" s="60"/>
      <c r="L9" s="60"/>
    </row>
    <row r="10" spans="1:12" ht="14.25" x14ac:dyDescent="0.2">
      <c r="A10" s="10"/>
      <c r="B10" s="10"/>
      <c r="C10" s="40" t="s">
        <v>564</v>
      </c>
      <c r="D10" s="40"/>
      <c r="E10" s="40"/>
      <c r="F10" s="40"/>
      <c r="G10" s="40"/>
      <c r="H10" s="40"/>
      <c r="I10" s="10"/>
      <c r="J10" s="60" t="str">
        <f>IF(Source!AK15 &lt;&gt; "", Source!AK15, "")</f>
        <v/>
      </c>
      <c r="K10" s="60"/>
      <c r="L10" s="60"/>
    </row>
    <row r="11" spans="1:12" ht="14.25" x14ac:dyDescent="0.2">
      <c r="A11" s="10" t="s">
        <v>565</v>
      </c>
      <c r="B11" s="10"/>
      <c r="C11" s="69" t="str">
        <f>IF(Source!AX12&lt;&gt; "", Source!AX12, IF(Source!AJ12 &lt;&gt; "", Source!AJ12, ""))</f>
        <v/>
      </c>
      <c r="D11" s="69"/>
      <c r="E11" s="69"/>
      <c r="F11" s="69"/>
      <c r="G11" s="69"/>
      <c r="H11" s="69"/>
      <c r="I11" s="9" t="s">
        <v>563</v>
      </c>
      <c r="J11" s="60"/>
      <c r="K11" s="60"/>
      <c r="L11" s="60"/>
    </row>
    <row r="12" spans="1:12" ht="14.25" x14ac:dyDescent="0.2">
      <c r="A12" s="10"/>
      <c r="B12" s="10"/>
      <c r="C12" s="40" t="s">
        <v>564</v>
      </c>
      <c r="D12" s="40"/>
      <c r="E12" s="40"/>
      <c r="F12" s="40"/>
      <c r="G12" s="40"/>
      <c r="H12" s="40"/>
      <c r="I12" s="10"/>
      <c r="J12" s="60" t="str">
        <f>IF(Source!AO15 &lt;&gt; "", Source!AO15, "")</f>
        <v/>
      </c>
      <c r="K12" s="60"/>
      <c r="L12" s="60"/>
    </row>
    <row r="13" spans="1:12" ht="14.25" x14ac:dyDescent="0.2">
      <c r="A13" s="10" t="s">
        <v>566</v>
      </c>
      <c r="B13" s="10"/>
      <c r="C13" s="69" t="str">
        <f>IF(Source!AY12&lt;&gt; "", Source!AY12, IF(Source!AN12 &lt;&gt; "", Source!AN12, ""))</f>
        <v/>
      </c>
      <c r="D13" s="69"/>
      <c r="E13" s="69"/>
      <c r="F13" s="69"/>
      <c r="G13" s="69"/>
      <c r="H13" s="69"/>
      <c r="I13" s="9" t="s">
        <v>563</v>
      </c>
      <c r="J13" s="60"/>
      <c r="K13" s="60"/>
      <c r="L13" s="60"/>
    </row>
    <row r="14" spans="1:12" ht="14.25" x14ac:dyDescent="0.2">
      <c r="A14" s="10"/>
      <c r="B14" s="10"/>
      <c r="C14" s="40" t="s">
        <v>564</v>
      </c>
      <c r="D14" s="40"/>
      <c r="E14" s="40"/>
      <c r="F14" s="40"/>
      <c r="G14" s="40"/>
      <c r="H14" s="40"/>
      <c r="I14" s="10"/>
      <c r="J14" s="60" t="str">
        <f>IF(Source!CO15 &lt;&gt; "", Source!CO15, "")</f>
        <v/>
      </c>
      <c r="K14" s="60"/>
      <c r="L14" s="60"/>
    </row>
    <row r="15" spans="1:12" ht="14.25" x14ac:dyDescent="0.2">
      <c r="A15" s="10" t="s">
        <v>567</v>
      </c>
      <c r="B15" s="10"/>
      <c r="C15" s="69" t="s">
        <v>4</v>
      </c>
      <c r="D15" s="69"/>
      <c r="E15" s="69"/>
      <c r="F15" s="69"/>
      <c r="G15" s="69"/>
      <c r="H15" s="69"/>
      <c r="I15" s="10"/>
      <c r="J15" s="60"/>
      <c r="K15" s="60"/>
      <c r="L15" s="60"/>
    </row>
    <row r="16" spans="1:12" ht="14.25" x14ac:dyDescent="0.2">
      <c r="A16" s="10"/>
      <c r="B16" s="10"/>
      <c r="C16" s="40" t="s">
        <v>568</v>
      </c>
      <c r="D16" s="40"/>
      <c r="E16" s="40"/>
      <c r="F16" s="40"/>
      <c r="G16" s="40"/>
      <c r="H16" s="40"/>
      <c r="I16" s="10"/>
      <c r="J16" s="60" t="str">
        <f>IF(Source!CP15 &lt;&gt; "", Source!CP15, "")</f>
        <v/>
      </c>
      <c r="K16" s="60"/>
      <c r="L16" s="60"/>
    </row>
    <row r="17" spans="1:12" ht="14.25" x14ac:dyDescent="0.2">
      <c r="A17" s="10" t="s">
        <v>569</v>
      </c>
      <c r="B17" s="10"/>
      <c r="C17" s="37" t="str">
        <f>IF(Source!G12&lt;&gt;"Новый объект", Source!G12, "")</f>
        <v>Паркинг 2_на 4 мес. (10%)</v>
      </c>
      <c r="D17" s="37"/>
      <c r="E17" s="37"/>
      <c r="F17" s="37"/>
      <c r="G17" s="37"/>
      <c r="H17" s="37"/>
      <c r="I17" s="10"/>
      <c r="J17" s="60"/>
      <c r="K17" s="60"/>
      <c r="L17" s="60"/>
    </row>
    <row r="18" spans="1:12" ht="14.25" x14ac:dyDescent="0.2">
      <c r="A18" s="10"/>
      <c r="B18" s="10"/>
      <c r="C18" s="40" t="s">
        <v>570</v>
      </c>
      <c r="D18" s="40"/>
      <c r="E18" s="40"/>
      <c r="F18" s="40"/>
      <c r="G18" s="40"/>
      <c r="H18" s="40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49" t="s">
        <v>571</v>
      </c>
      <c r="H19" s="49"/>
      <c r="I19" s="49"/>
      <c r="J19" s="60" t="str">
        <f>IF(Source!CQ15 &lt;&gt; "", Source!CQ15, "")</f>
        <v/>
      </c>
      <c r="K19" s="60"/>
      <c r="L19" s="60"/>
    </row>
    <row r="20" spans="1:12" ht="14.25" x14ac:dyDescent="0.2">
      <c r="A20" s="10"/>
      <c r="B20" s="10"/>
      <c r="C20" s="10"/>
      <c r="D20" s="10"/>
      <c r="E20" s="10"/>
      <c r="F20" s="10"/>
      <c r="G20" s="49" t="s">
        <v>572</v>
      </c>
      <c r="H20" s="67"/>
      <c r="I20" s="29" t="s">
        <v>573</v>
      </c>
      <c r="J20" s="60" t="str">
        <f>IF(Source!CR15 &lt;&gt; "", Source!CR15, "")</f>
        <v/>
      </c>
      <c r="K20" s="60"/>
      <c r="L20" s="60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0" t="s">
        <v>574</v>
      </c>
      <c r="J21" s="68" t="str">
        <f>IF(Source!CS15 &lt;&gt; 0, Source!CS15, "")</f>
        <v/>
      </c>
      <c r="K21" s="68"/>
      <c r="L21" s="68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575</v>
      </c>
      <c r="J22" s="60" t="str">
        <f>IF(Source!CT15 &lt;&gt; "", Source!CT15, "")</f>
        <v/>
      </c>
      <c r="K22" s="60"/>
      <c r="L22" s="60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1" t="s">
        <v>576</v>
      </c>
      <c r="H24" s="63" t="s">
        <v>577</v>
      </c>
      <c r="I24" s="63" t="s">
        <v>578</v>
      </c>
      <c r="J24" s="65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2"/>
      <c r="H25" s="64"/>
      <c r="I25" s="33" t="s">
        <v>579</v>
      </c>
      <c r="J25" s="32" t="s">
        <v>580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0" t="str">
        <f>IF(Source!CN15 &lt;&gt; "", Source!CN15, "")</f>
        <v/>
      </c>
      <c r="H26" s="34" t="str">
        <f>IF(Source!CX15 &lt;&gt; 0, Source!CX15, "")</f>
        <v/>
      </c>
      <c r="I26" s="31" t="str">
        <f>IF(Source!CV15 &lt;&gt; 0, Source!CV15, "")</f>
        <v/>
      </c>
      <c r="J26" s="31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6" t="s">
        <v>581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29" spans="1:12" ht="18" x14ac:dyDescent="0.25">
      <c r="A29" s="66" t="s">
        <v>582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583</v>
      </c>
      <c r="B31" s="10"/>
      <c r="C31" s="10"/>
      <c r="D31" s="10"/>
      <c r="E31" s="10"/>
      <c r="F31" s="10"/>
      <c r="G31" s="10"/>
      <c r="H31" s="58">
        <f>ROUND((Source!F791/1000), 2)</f>
        <v>766.03</v>
      </c>
      <c r="I31" s="58"/>
      <c r="J31" s="10" t="s">
        <v>584</v>
      </c>
      <c r="K31" s="10"/>
      <c r="L31" s="10"/>
    </row>
    <row r="32" spans="1:12" ht="14.25" x14ac:dyDescent="0.2">
      <c r="A32" s="10" t="s">
        <v>535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59" t="s">
        <v>585</v>
      </c>
      <c r="B33" s="59"/>
      <c r="C33" s="46" t="s">
        <v>523</v>
      </c>
      <c r="D33" s="46" t="s">
        <v>524</v>
      </c>
      <c r="E33" s="46" t="s">
        <v>525</v>
      </c>
      <c r="F33" s="46" t="s">
        <v>526</v>
      </c>
      <c r="G33" s="46" t="s">
        <v>527</v>
      </c>
      <c r="H33" s="46" t="s">
        <v>528</v>
      </c>
      <c r="I33" s="46" t="s">
        <v>529</v>
      </c>
      <c r="J33" s="46" t="s">
        <v>530</v>
      </c>
      <c r="K33" s="46" t="s">
        <v>531</v>
      </c>
      <c r="L33" s="36" t="s">
        <v>532</v>
      </c>
    </row>
    <row r="34" spans="1:22" ht="28.5" x14ac:dyDescent="0.2">
      <c r="A34" s="57" t="s">
        <v>586</v>
      </c>
      <c r="B34" s="57" t="s">
        <v>587</v>
      </c>
      <c r="C34" s="47"/>
      <c r="D34" s="47"/>
      <c r="E34" s="47"/>
      <c r="F34" s="47"/>
      <c r="G34" s="47"/>
      <c r="H34" s="47"/>
      <c r="I34" s="47"/>
      <c r="J34" s="47"/>
      <c r="K34" s="47"/>
      <c r="L34" s="35" t="s">
        <v>533</v>
      </c>
    </row>
    <row r="35" spans="1:22" ht="28.5" x14ac:dyDescent="0.2">
      <c r="A35" s="57"/>
      <c r="B35" s="57"/>
      <c r="C35" s="47"/>
      <c r="D35" s="47"/>
      <c r="E35" s="47"/>
      <c r="F35" s="47"/>
      <c r="G35" s="47"/>
      <c r="H35" s="47"/>
      <c r="I35" s="47"/>
      <c r="J35" s="47"/>
      <c r="K35" s="47"/>
      <c r="L35" s="35" t="s">
        <v>534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45" t="str">
        <f>CONCATENATE("Локальная смета: ",IF(Source!G20&lt;&gt;"Новая локальная смета", Source!G20, ""))</f>
        <v xml:space="preserve">Локальная смета: 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40" spans="1:22" ht="16.5" x14ac:dyDescent="0.25">
      <c r="A40" s="45" t="str">
        <f>CONCATENATE("Раздел: ",IF(Source!G24&lt;&gt;"Новый раздел", Source!G24, ""))</f>
        <v>Раздел: Водоснабжение и водоотведение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2" spans="1:22" ht="16.5" x14ac:dyDescent="0.25">
      <c r="A42" s="45" t="str">
        <f>CONCATENATE("Подраздел: ",IF(Source!G28&lt;&gt;"Новый подраздел", Source!G28, ""))</f>
        <v>Подраздел: Водоснабжение В1,ТЗ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</row>
    <row r="43" spans="1:22" ht="42.75" x14ac:dyDescent="0.2">
      <c r="A43" s="18">
        <v>1</v>
      </c>
      <c r="B43" s="18">
        <v>1</v>
      </c>
      <c r="C43" s="18" t="str">
        <f>Source!F34</f>
        <v>1.15-2203-7-2/1</v>
      </c>
      <c r="D43" s="18" t="str">
        <f>Source!G34</f>
        <v>Техническое обслуживание крана шарового латунного никелированного диаметром до 50 мм (Ду32)</v>
      </c>
      <c r="E43" s="19" t="str">
        <f>Source!H34</f>
        <v>10 шт.</v>
      </c>
      <c r="F43" s="9">
        <f>Source!I34</f>
        <v>0.2</v>
      </c>
      <c r="G43" s="21"/>
      <c r="H43" s="20"/>
      <c r="I43" s="9"/>
      <c r="J43" s="9"/>
      <c r="K43" s="21"/>
      <c r="L43" s="21"/>
      <c r="Q43">
        <f>ROUND((Source!BZ34/100)*ROUND((Source!AF34*Source!AV34)*Source!I34, 2), 2)</f>
        <v>52.73</v>
      </c>
      <c r="R43">
        <f>Source!X34</f>
        <v>52.73</v>
      </c>
      <c r="S43">
        <f>ROUND((Source!CA34/100)*ROUND((Source!AF34*Source!AV34)*Source!I34, 2), 2)</f>
        <v>7.53</v>
      </c>
      <c r="T43">
        <f>Source!Y34</f>
        <v>7.53</v>
      </c>
      <c r="U43">
        <f>ROUND((175/100)*ROUND((Source!AE34*Source!AV34)*Source!I34, 2), 2)</f>
        <v>0</v>
      </c>
      <c r="V43">
        <f>ROUND((108/100)*ROUND(Source!CS34*Source!I34, 2), 2)</f>
        <v>0</v>
      </c>
    </row>
    <row r="44" spans="1:22" x14ac:dyDescent="0.2">
      <c r="D44" s="22" t="str">
        <f>"Объем: "&amp;Source!I34&amp;"=(2)/"&amp;"10"</f>
        <v>Объем: 0,2=(2)/10</v>
      </c>
    </row>
    <row r="45" spans="1:22" ht="14.25" x14ac:dyDescent="0.2">
      <c r="A45" s="18"/>
      <c r="B45" s="18"/>
      <c r="C45" s="18"/>
      <c r="D45" s="18" t="s">
        <v>536</v>
      </c>
      <c r="E45" s="19"/>
      <c r="F45" s="9"/>
      <c r="G45" s="21">
        <f>Source!AO34</f>
        <v>376.67</v>
      </c>
      <c r="H45" s="20" t="str">
        <f>Source!DG34</f>
        <v/>
      </c>
      <c r="I45" s="9">
        <f>Source!AV34</f>
        <v>1</v>
      </c>
      <c r="J45" s="9">
        <f>IF(Source!BA34&lt;&gt; 0, Source!BA34, 1)</f>
        <v>1</v>
      </c>
      <c r="K45" s="21">
        <f>Source!S34</f>
        <v>75.33</v>
      </c>
      <c r="L45" s="21"/>
    </row>
    <row r="46" spans="1:22" ht="14.25" x14ac:dyDescent="0.2">
      <c r="A46" s="18"/>
      <c r="B46" s="18"/>
      <c r="C46" s="18"/>
      <c r="D46" s="18" t="s">
        <v>537</v>
      </c>
      <c r="E46" s="19" t="s">
        <v>538</v>
      </c>
      <c r="F46" s="9">
        <f>Source!AT34</f>
        <v>70</v>
      </c>
      <c r="G46" s="21"/>
      <c r="H46" s="20"/>
      <c r="I46" s="9"/>
      <c r="J46" s="9"/>
      <c r="K46" s="21">
        <f>SUM(R43:R45)</f>
        <v>52.73</v>
      </c>
      <c r="L46" s="21"/>
    </row>
    <row r="47" spans="1:22" ht="14.25" x14ac:dyDescent="0.2">
      <c r="A47" s="18"/>
      <c r="B47" s="18"/>
      <c r="C47" s="18"/>
      <c r="D47" s="18" t="s">
        <v>539</v>
      </c>
      <c r="E47" s="19" t="s">
        <v>538</v>
      </c>
      <c r="F47" s="9">
        <f>Source!AU34</f>
        <v>10</v>
      </c>
      <c r="G47" s="21"/>
      <c r="H47" s="20"/>
      <c r="I47" s="9"/>
      <c r="J47" s="9"/>
      <c r="K47" s="21">
        <f>SUM(T43:T46)</f>
        <v>7.53</v>
      </c>
      <c r="L47" s="21"/>
    </row>
    <row r="48" spans="1:22" ht="14.25" x14ac:dyDescent="0.2">
      <c r="A48" s="18"/>
      <c r="B48" s="18"/>
      <c r="C48" s="18"/>
      <c r="D48" s="18" t="s">
        <v>540</v>
      </c>
      <c r="E48" s="19" t="s">
        <v>541</v>
      </c>
      <c r="F48" s="9">
        <f>Source!AQ34</f>
        <v>0.61</v>
      </c>
      <c r="G48" s="21"/>
      <c r="H48" s="20" t="str">
        <f>Source!DI34</f>
        <v/>
      </c>
      <c r="I48" s="9">
        <f>Source!AV34</f>
        <v>1</v>
      </c>
      <c r="J48" s="9"/>
      <c r="K48" s="21"/>
      <c r="L48" s="21">
        <f>Source!U34</f>
        <v>0.122</v>
      </c>
    </row>
    <row r="49" spans="1:22" ht="15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44">
        <f>K45+K46+K47</f>
        <v>135.59</v>
      </c>
      <c r="K49" s="44"/>
      <c r="L49" s="25">
        <f>IF(Source!I34&lt;&gt;0, ROUND(J49/Source!I34, 2), 0)</f>
        <v>677.95</v>
      </c>
      <c r="P49" s="23">
        <f>J49</f>
        <v>135.59</v>
      </c>
    </row>
    <row r="50" spans="1:22" ht="42.75" x14ac:dyDescent="0.2">
      <c r="A50" s="18">
        <v>2</v>
      </c>
      <c r="B50" s="18">
        <v>2</v>
      </c>
      <c r="C50" s="18" t="str">
        <f>Source!F35</f>
        <v>1.15-2203-7-1/1</v>
      </c>
      <c r="D50" s="18" t="str">
        <f>Source!G35</f>
        <v>Техническое обслуживание крана шарового латунного никелированного диаметром до 25 мм (Ду15; Ду25)</v>
      </c>
      <c r="E50" s="19" t="str">
        <f>Source!H35</f>
        <v>10 шт.</v>
      </c>
      <c r="F50" s="9">
        <f>Source!I35</f>
        <v>3.9</v>
      </c>
      <c r="G50" s="21"/>
      <c r="H50" s="20"/>
      <c r="I50" s="9"/>
      <c r="J50" s="9"/>
      <c r="K50" s="21"/>
      <c r="L50" s="21"/>
      <c r="Q50">
        <f>ROUND((Source!BZ35/100)*ROUND((Source!AF35*Source!AV35)*Source!I35, 2), 2)</f>
        <v>758.58</v>
      </c>
      <c r="R50">
        <f>Source!X35</f>
        <v>758.58</v>
      </c>
      <c r="S50">
        <f>ROUND((Source!CA35/100)*ROUND((Source!AF35*Source!AV35)*Source!I35, 2), 2)</f>
        <v>108.37</v>
      </c>
      <c r="T50">
        <f>Source!Y35</f>
        <v>108.37</v>
      </c>
      <c r="U50">
        <f>ROUND((175/100)*ROUND((Source!AE35*Source!AV35)*Source!I35, 2), 2)</f>
        <v>0</v>
      </c>
      <c r="V50">
        <f>ROUND((108/100)*ROUND(Source!CS35*Source!I35, 2), 2)</f>
        <v>0</v>
      </c>
    </row>
    <row r="51" spans="1:22" x14ac:dyDescent="0.2">
      <c r="D51" s="22" t="str">
        <f>"Объем: "&amp;Source!I35&amp;"=(35+"&amp;"4)/"&amp;"10"</f>
        <v>Объем: 3,9=(35+4)/10</v>
      </c>
    </row>
    <row r="52" spans="1:22" ht="14.25" x14ac:dyDescent="0.2">
      <c r="A52" s="18"/>
      <c r="B52" s="18"/>
      <c r="C52" s="18"/>
      <c r="D52" s="18" t="s">
        <v>536</v>
      </c>
      <c r="E52" s="19"/>
      <c r="F52" s="9"/>
      <c r="G52" s="21">
        <f>Source!AO35</f>
        <v>277.87</v>
      </c>
      <c r="H52" s="20" t="str">
        <f>Source!DG35</f>
        <v/>
      </c>
      <c r="I52" s="9">
        <f>Source!AV35</f>
        <v>1</v>
      </c>
      <c r="J52" s="9">
        <f>IF(Source!BA35&lt;&gt; 0, Source!BA35, 1)</f>
        <v>1</v>
      </c>
      <c r="K52" s="21">
        <f>Source!S35</f>
        <v>1083.69</v>
      </c>
      <c r="L52" s="21"/>
    </row>
    <row r="53" spans="1:22" ht="14.25" x14ac:dyDescent="0.2">
      <c r="A53" s="18"/>
      <c r="B53" s="18"/>
      <c r="C53" s="18"/>
      <c r="D53" s="18" t="s">
        <v>537</v>
      </c>
      <c r="E53" s="19" t="s">
        <v>538</v>
      </c>
      <c r="F53" s="9">
        <f>Source!AT35</f>
        <v>70</v>
      </c>
      <c r="G53" s="21"/>
      <c r="H53" s="20"/>
      <c r="I53" s="9"/>
      <c r="J53" s="9"/>
      <c r="K53" s="21">
        <f>SUM(R50:R52)</f>
        <v>758.58</v>
      </c>
      <c r="L53" s="21"/>
    </row>
    <row r="54" spans="1:22" ht="14.25" x14ac:dyDescent="0.2">
      <c r="A54" s="18"/>
      <c r="B54" s="18"/>
      <c r="C54" s="18"/>
      <c r="D54" s="18" t="s">
        <v>539</v>
      </c>
      <c r="E54" s="19" t="s">
        <v>538</v>
      </c>
      <c r="F54" s="9">
        <f>Source!AU35</f>
        <v>10</v>
      </c>
      <c r="G54" s="21"/>
      <c r="H54" s="20"/>
      <c r="I54" s="9"/>
      <c r="J54" s="9"/>
      <c r="K54" s="21">
        <f>SUM(T50:T53)</f>
        <v>108.37</v>
      </c>
      <c r="L54" s="21"/>
    </row>
    <row r="55" spans="1:22" ht="14.25" x14ac:dyDescent="0.2">
      <c r="A55" s="18"/>
      <c r="B55" s="18"/>
      <c r="C55" s="18"/>
      <c r="D55" s="18" t="s">
        <v>540</v>
      </c>
      <c r="E55" s="19" t="s">
        <v>541</v>
      </c>
      <c r="F55" s="9">
        <f>Source!AQ35</f>
        <v>0.45</v>
      </c>
      <c r="G55" s="21"/>
      <c r="H55" s="20" t="str">
        <f>Source!DI35</f>
        <v/>
      </c>
      <c r="I55" s="9">
        <f>Source!AV35</f>
        <v>1</v>
      </c>
      <c r="J55" s="9"/>
      <c r="K55" s="21"/>
      <c r="L55" s="21">
        <f>Source!U35</f>
        <v>1.7549999999999999</v>
      </c>
    </row>
    <row r="56" spans="1:22" ht="15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44">
        <f>K52+K53+K54</f>
        <v>1950.6399999999999</v>
      </c>
      <c r="K56" s="44"/>
      <c r="L56" s="25">
        <f>IF(Source!I35&lt;&gt;0, ROUND(J56/Source!I35, 2), 0)</f>
        <v>500.16</v>
      </c>
      <c r="P56" s="23">
        <f>J56</f>
        <v>1950.6399999999999</v>
      </c>
    </row>
    <row r="57" spans="1:22" ht="71.25" x14ac:dyDescent="0.2">
      <c r="A57" s="18">
        <v>3</v>
      </c>
      <c r="B57" s="18">
        <v>3</v>
      </c>
      <c r="C57" s="18" t="str">
        <f>Source!F36</f>
        <v>1.21-2303-24-1/1</v>
      </c>
      <c r="D57" s="18" t="str">
        <f>Source!G36</f>
        <v>Техническое обслуживание электроводонагревателей объемом до 80 литров/ Электроводонагреватель накопительного типа   V=50л, 1,50 кВт 220 В</v>
      </c>
      <c r="E57" s="19" t="str">
        <f>Source!H36</f>
        <v>шт.</v>
      </c>
      <c r="F57" s="9">
        <f>Source!I36</f>
        <v>2</v>
      </c>
      <c r="G57" s="21"/>
      <c r="H57" s="20"/>
      <c r="I57" s="9"/>
      <c r="J57" s="9"/>
      <c r="K57" s="21"/>
      <c r="L57" s="21"/>
      <c r="Q57">
        <f>ROUND((Source!BZ36/100)*ROUND((Source!AF36*Source!AV36)*Source!I36, 2), 2)</f>
        <v>1741.64</v>
      </c>
      <c r="R57">
        <f>Source!X36</f>
        <v>1741.64</v>
      </c>
      <c r="S57">
        <f>ROUND((Source!CA36/100)*ROUND((Source!AF36*Source!AV36)*Source!I36, 2), 2)</f>
        <v>248.81</v>
      </c>
      <c r="T57">
        <f>Source!Y36</f>
        <v>248.81</v>
      </c>
      <c r="U57">
        <f>ROUND((175/100)*ROUND((Source!AE36*Source!AV36)*Source!I36, 2), 2)</f>
        <v>3131.7</v>
      </c>
      <c r="V57">
        <f>ROUND((108/100)*ROUND(Source!CS36*Source!I36, 2), 2)</f>
        <v>1932.7</v>
      </c>
    </row>
    <row r="58" spans="1:22" ht="14.25" x14ac:dyDescent="0.2">
      <c r="A58" s="18"/>
      <c r="B58" s="18"/>
      <c r="C58" s="18"/>
      <c r="D58" s="18" t="s">
        <v>536</v>
      </c>
      <c r="E58" s="19"/>
      <c r="F58" s="9"/>
      <c r="G58" s="21">
        <f>Source!AO36</f>
        <v>1244.03</v>
      </c>
      <c r="H58" s="20" t="str">
        <f>Source!DG36</f>
        <v/>
      </c>
      <c r="I58" s="9">
        <f>Source!AV36</f>
        <v>1</v>
      </c>
      <c r="J58" s="9">
        <f>IF(Source!BA36&lt;&gt; 0, Source!BA36, 1)</f>
        <v>1</v>
      </c>
      <c r="K58" s="21">
        <f>Source!S36</f>
        <v>2488.06</v>
      </c>
      <c r="L58" s="21"/>
    </row>
    <row r="59" spans="1:22" ht="14.25" x14ac:dyDescent="0.2">
      <c r="A59" s="18"/>
      <c r="B59" s="18"/>
      <c r="C59" s="18"/>
      <c r="D59" s="18" t="s">
        <v>542</v>
      </c>
      <c r="E59" s="19"/>
      <c r="F59" s="9"/>
      <c r="G59" s="21">
        <f>Source!AM36</f>
        <v>1411.16</v>
      </c>
      <c r="H59" s="20" t="str">
        <f>Source!DE36</f>
        <v/>
      </c>
      <c r="I59" s="9">
        <f>Source!AV36</f>
        <v>1</v>
      </c>
      <c r="J59" s="9">
        <f>IF(Source!BB36&lt;&gt; 0, Source!BB36, 1)</f>
        <v>1</v>
      </c>
      <c r="K59" s="21">
        <f>Source!Q36</f>
        <v>2822.32</v>
      </c>
      <c r="L59" s="21"/>
    </row>
    <row r="60" spans="1:22" ht="14.25" x14ac:dyDescent="0.2">
      <c r="A60" s="18"/>
      <c r="B60" s="18"/>
      <c r="C60" s="18"/>
      <c r="D60" s="18" t="s">
        <v>543</v>
      </c>
      <c r="E60" s="19"/>
      <c r="F60" s="9"/>
      <c r="G60" s="21">
        <f>Source!AN36</f>
        <v>894.77</v>
      </c>
      <c r="H60" s="20" t="str">
        <f>Source!DF36</f>
        <v/>
      </c>
      <c r="I60" s="9">
        <f>Source!AV36</f>
        <v>1</v>
      </c>
      <c r="J60" s="9">
        <f>IF(Source!BS36&lt;&gt; 0, Source!BS36, 1)</f>
        <v>1</v>
      </c>
      <c r="K60" s="26">
        <f>Source!R36</f>
        <v>1789.54</v>
      </c>
      <c r="L60" s="21"/>
    </row>
    <row r="61" spans="1:22" ht="14.25" x14ac:dyDescent="0.2">
      <c r="A61" s="18"/>
      <c r="B61" s="18"/>
      <c r="C61" s="18"/>
      <c r="D61" s="18" t="s">
        <v>544</v>
      </c>
      <c r="E61" s="19"/>
      <c r="F61" s="9"/>
      <c r="G61" s="21">
        <f>Source!AL36</f>
        <v>0.63</v>
      </c>
      <c r="H61" s="20" t="str">
        <f>Source!DD36</f>
        <v/>
      </c>
      <c r="I61" s="9">
        <f>Source!AW36</f>
        <v>1</v>
      </c>
      <c r="J61" s="9">
        <f>IF(Source!BC36&lt;&gt; 0, Source!BC36, 1)</f>
        <v>1</v>
      </c>
      <c r="K61" s="21">
        <f>Source!P36</f>
        <v>1.26</v>
      </c>
      <c r="L61" s="21"/>
    </row>
    <row r="62" spans="1:22" ht="14.25" x14ac:dyDescent="0.2">
      <c r="A62" s="18"/>
      <c r="B62" s="18"/>
      <c r="C62" s="18"/>
      <c r="D62" s="18" t="s">
        <v>537</v>
      </c>
      <c r="E62" s="19" t="s">
        <v>538</v>
      </c>
      <c r="F62" s="9">
        <f>Source!AT36</f>
        <v>70</v>
      </c>
      <c r="G62" s="21"/>
      <c r="H62" s="20"/>
      <c r="I62" s="9"/>
      <c r="J62" s="9"/>
      <c r="K62" s="21">
        <f>SUM(R57:R61)</f>
        <v>1741.64</v>
      </c>
      <c r="L62" s="21"/>
    </row>
    <row r="63" spans="1:22" ht="14.25" x14ac:dyDescent="0.2">
      <c r="A63" s="18"/>
      <c r="B63" s="18"/>
      <c r="C63" s="18"/>
      <c r="D63" s="18" t="s">
        <v>539</v>
      </c>
      <c r="E63" s="19" t="s">
        <v>538</v>
      </c>
      <c r="F63" s="9">
        <f>Source!AU36</f>
        <v>10</v>
      </c>
      <c r="G63" s="21"/>
      <c r="H63" s="20"/>
      <c r="I63" s="9"/>
      <c r="J63" s="9"/>
      <c r="K63" s="21">
        <f>SUM(T57:T62)</f>
        <v>248.81</v>
      </c>
      <c r="L63" s="21"/>
    </row>
    <row r="64" spans="1:22" ht="14.25" x14ac:dyDescent="0.2">
      <c r="A64" s="18"/>
      <c r="B64" s="18"/>
      <c r="C64" s="18"/>
      <c r="D64" s="18" t="s">
        <v>545</v>
      </c>
      <c r="E64" s="19" t="s">
        <v>538</v>
      </c>
      <c r="F64" s="9">
        <f>108</f>
        <v>108</v>
      </c>
      <c r="G64" s="21"/>
      <c r="H64" s="20"/>
      <c r="I64" s="9"/>
      <c r="J64" s="9"/>
      <c r="K64" s="21">
        <f>SUM(V57:V63)</f>
        <v>1932.7</v>
      </c>
      <c r="L64" s="21"/>
    </row>
    <row r="65" spans="1:22" ht="14.25" x14ac:dyDescent="0.2">
      <c r="A65" s="18"/>
      <c r="B65" s="18"/>
      <c r="C65" s="18"/>
      <c r="D65" s="18" t="s">
        <v>540</v>
      </c>
      <c r="E65" s="19" t="s">
        <v>541</v>
      </c>
      <c r="F65" s="9">
        <f>Source!AQ36</f>
        <v>1.75</v>
      </c>
      <c r="G65" s="21"/>
      <c r="H65" s="20" t="str">
        <f>Source!DI36</f>
        <v/>
      </c>
      <c r="I65" s="9">
        <f>Source!AV36</f>
        <v>1</v>
      </c>
      <c r="J65" s="9"/>
      <c r="K65" s="21"/>
      <c r="L65" s="21">
        <f>Source!U36</f>
        <v>3.5</v>
      </c>
    </row>
    <row r="66" spans="1:22" ht="15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44">
        <f>K58+K59+K61+K62+K63+K64</f>
        <v>9234.7900000000009</v>
      </c>
      <c r="K66" s="44"/>
      <c r="L66" s="25">
        <f>IF(Source!I36&lt;&gt;0, ROUND(J66/Source!I36, 2), 0)</f>
        <v>4617.3999999999996</v>
      </c>
      <c r="P66" s="23">
        <f>J66</f>
        <v>9234.7900000000009</v>
      </c>
    </row>
    <row r="68" spans="1:22" ht="15" x14ac:dyDescent="0.25">
      <c r="A68" s="43" t="str">
        <f>CONCATENATE("Итого по подразделу: ",IF(Source!G39&lt;&gt;"Новый подраздел", Source!G39, ""))</f>
        <v>Итого по подразделу: Водоснабжение В1,ТЗ</v>
      </c>
      <c r="B68" s="43"/>
      <c r="C68" s="43"/>
      <c r="D68" s="43"/>
      <c r="E68" s="43"/>
      <c r="F68" s="43"/>
      <c r="G68" s="43"/>
      <c r="H68" s="43"/>
      <c r="I68" s="43"/>
      <c r="J68" s="41">
        <f>SUM(P42:P67)</f>
        <v>11321.02</v>
      </c>
      <c r="K68" s="42"/>
      <c r="L68" s="27"/>
    </row>
    <row r="71" spans="1:22" ht="16.5" x14ac:dyDescent="0.25">
      <c r="A71" s="45" t="str">
        <f>CONCATENATE("Подраздел: ",IF(Source!G108&lt;&gt;"Новый подраздел", Source!G108, ""))</f>
        <v>Подраздел: Сантехприборы и оборудование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22" ht="28.5" x14ac:dyDescent="0.2">
      <c r="A72" s="18">
        <v>4</v>
      </c>
      <c r="B72" s="18">
        <v>4</v>
      </c>
      <c r="C72" s="18" t="str">
        <f>Source!F117</f>
        <v>1.16-3201-2-1/1</v>
      </c>
      <c r="D72" s="18" t="str">
        <f>Source!G117</f>
        <v>Укрепление расшатавшихся санитарно-технических приборов - умывальники</v>
      </c>
      <c r="E72" s="19" t="str">
        <f>Source!H117</f>
        <v>100 шт.</v>
      </c>
      <c r="F72" s="9">
        <f>Source!I117</f>
        <v>0.1</v>
      </c>
      <c r="G72" s="21"/>
      <c r="H72" s="20"/>
      <c r="I72" s="9"/>
      <c r="J72" s="9"/>
      <c r="K72" s="21"/>
      <c r="L72" s="21"/>
      <c r="Q72">
        <f>ROUND((Source!BZ117/100)*ROUND((Source!AF117*Source!AV117)*Source!I117, 2), 2)</f>
        <v>3705.48</v>
      </c>
      <c r="R72">
        <f>Source!X117</f>
        <v>3705.48</v>
      </c>
      <c r="S72">
        <f>ROUND((Source!CA117/100)*ROUND((Source!AF117*Source!AV117)*Source!I117, 2), 2)</f>
        <v>529.35</v>
      </c>
      <c r="T72">
        <f>Source!Y117</f>
        <v>529.35</v>
      </c>
      <c r="U72">
        <f>ROUND((175/100)*ROUND((Source!AE117*Source!AV117)*Source!I117, 2), 2)</f>
        <v>0.12</v>
      </c>
      <c r="V72">
        <f>ROUND((108/100)*ROUND(Source!CS117*Source!I117, 2), 2)</f>
        <v>0.08</v>
      </c>
    </row>
    <row r="73" spans="1:22" x14ac:dyDescent="0.2">
      <c r="D73" s="22" t="str">
        <f>"Объем: "&amp;Source!I117&amp;"=(10)/"&amp;"100"</f>
        <v>Объем: 0,1=(10)/100</v>
      </c>
    </row>
    <row r="74" spans="1:22" ht="14.25" x14ac:dyDescent="0.2">
      <c r="A74" s="18"/>
      <c r="B74" s="18"/>
      <c r="C74" s="18"/>
      <c r="D74" s="18" t="s">
        <v>536</v>
      </c>
      <c r="E74" s="19"/>
      <c r="F74" s="9"/>
      <c r="G74" s="21">
        <f>Source!AO117</f>
        <v>52935.41</v>
      </c>
      <c r="H74" s="20" t="str">
        <f>Source!DG117</f>
        <v/>
      </c>
      <c r="I74" s="9">
        <f>Source!AV117</f>
        <v>1</v>
      </c>
      <c r="J74" s="9">
        <f>IF(Source!BA117&lt;&gt; 0, Source!BA117, 1)</f>
        <v>1</v>
      </c>
      <c r="K74" s="21">
        <f>Source!S117</f>
        <v>5293.54</v>
      </c>
      <c r="L74" s="21"/>
    </row>
    <row r="75" spans="1:22" ht="14.25" x14ac:dyDescent="0.2">
      <c r="A75" s="18"/>
      <c r="B75" s="18"/>
      <c r="C75" s="18"/>
      <c r="D75" s="18" t="s">
        <v>542</v>
      </c>
      <c r="E75" s="19"/>
      <c r="F75" s="9"/>
      <c r="G75" s="21">
        <f>Source!AM117</f>
        <v>61.83</v>
      </c>
      <c r="H75" s="20" t="str">
        <f>Source!DE117</f>
        <v/>
      </c>
      <c r="I75" s="9">
        <f>Source!AV117</f>
        <v>1</v>
      </c>
      <c r="J75" s="9">
        <f>IF(Source!BB117&lt;&gt; 0, Source!BB117, 1)</f>
        <v>1</v>
      </c>
      <c r="K75" s="21">
        <f>Source!Q117</f>
        <v>6.18</v>
      </c>
      <c r="L75" s="21"/>
    </row>
    <row r="76" spans="1:22" ht="14.25" x14ac:dyDescent="0.2">
      <c r="A76" s="18"/>
      <c r="B76" s="18"/>
      <c r="C76" s="18"/>
      <c r="D76" s="18" t="s">
        <v>543</v>
      </c>
      <c r="E76" s="19"/>
      <c r="F76" s="9"/>
      <c r="G76" s="21">
        <f>Source!AN117</f>
        <v>0.7</v>
      </c>
      <c r="H76" s="20" t="str">
        <f>Source!DF117</f>
        <v/>
      </c>
      <c r="I76" s="9">
        <f>Source!AV117</f>
        <v>1</v>
      </c>
      <c r="J76" s="9">
        <f>IF(Source!BS117&lt;&gt; 0, Source!BS117, 1)</f>
        <v>1</v>
      </c>
      <c r="K76" s="26">
        <f>Source!R117</f>
        <v>7.0000000000000007E-2</v>
      </c>
      <c r="L76" s="21"/>
    </row>
    <row r="77" spans="1:22" ht="14.25" x14ac:dyDescent="0.2">
      <c r="A77" s="18"/>
      <c r="B77" s="18"/>
      <c r="C77" s="18"/>
      <c r="D77" s="18" t="s">
        <v>544</v>
      </c>
      <c r="E77" s="19"/>
      <c r="F77" s="9"/>
      <c r="G77" s="21">
        <f>Source!AL117</f>
        <v>776.55</v>
      </c>
      <c r="H77" s="20" t="str">
        <f>Source!DD117</f>
        <v/>
      </c>
      <c r="I77" s="9">
        <f>Source!AW117</f>
        <v>1</v>
      </c>
      <c r="J77" s="9">
        <f>IF(Source!BC117&lt;&gt; 0, Source!BC117, 1)</f>
        <v>1</v>
      </c>
      <c r="K77" s="21">
        <f>Source!P117</f>
        <v>77.66</v>
      </c>
      <c r="L77" s="21"/>
    </row>
    <row r="78" spans="1:22" ht="14.25" x14ac:dyDescent="0.2">
      <c r="A78" s="18"/>
      <c r="B78" s="18"/>
      <c r="C78" s="18"/>
      <c r="D78" s="18" t="s">
        <v>537</v>
      </c>
      <c r="E78" s="19" t="s">
        <v>538</v>
      </c>
      <c r="F78" s="9">
        <f>Source!AT117</f>
        <v>70</v>
      </c>
      <c r="G78" s="21"/>
      <c r="H78" s="20"/>
      <c r="I78" s="9"/>
      <c r="J78" s="9"/>
      <c r="K78" s="21">
        <f>SUM(R72:R77)</f>
        <v>3705.48</v>
      </c>
      <c r="L78" s="21"/>
    </row>
    <row r="79" spans="1:22" ht="14.25" x14ac:dyDescent="0.2">
      <c r="A79" s="18"/>
      <c r="B79" s="18"/>
      <c r="C79" s="18"/>
      <c r="D79" s="18" t="s">
        <v>539</v>
      </c>
      <c r="E79" s="19" t="s">
        <v>538</v>
      </c>
      <c r="F79" s="9">
        <f>Source!AU117</f>
        <v>10</v>
      </c>
      <c r="G79" s="21"/>
      <c r="H79" s="20"/>
      <c r="I79" s="9"/>
      <c r="J79" s="9"/>
      <c r="K79" s="21">
        <f>SUM(T72:T78)</f>
        <v>529.35</v>
      </c>
      <c r="L79" s="21"/>
    </row>
    <row r="80" spans="1:22" ht="14.25" x14ac:dyDescent="0.2">
      <c r="A80" s="18"/>
      <c r="B80" s="18"/>
      <c r="C80" s="18"/>
      <c r="D80" s="18" t="s">
        <v>545</v>
      </c>
      <c r="E80" s="19" t="s">
        <v>538</v>
      </c>
      <c r="F80" s="9">
        <f>108</f>
        <v>108</v>
      </c>
      <c r="G80" s="21"/>
      <c r="H80" s="20"/>
      <c r="I80" s="9"/>
      <c r="J80" s="9"/>
      <c r="K80" s="21">
        <f>SUM(V72:V79)</f>
        <v>0.08</v>
      </c>
      <c r="L80" s="21"/>
    </row>
    <row r="81" spans="1:22" ht="14.25" x14ac:dyDescent="0.2">
      <c r="A81" s="18"/>
      <c r="B81" s="18"/>
      <c r="C81" s="18"/>
      <c r="D81" s="18" t="s">
        <v>540</v>
      </c>
      <c r="E81" s="19" t="s">
        <v>541</v>
      </c>
      <c r="F81" s="9">
        <f>Source!AQ117</f>
        <v>104.44</v>
      </c>
      <c r="G81" s="21"/>
      <c r="H81" s="20" t="str">
        <f>Source!DI117</f>
        <v/>
      </c>
      <c r="I81" s="9">
        <f>Source!AV117</f>
        <v>1</v>
      </c>
      <c r="J81" s="9"/>
      <c r="K81" s="21"/>
      <c r="L81" s="21">
        <f>Source!U117</f>
        <v>10.444000000000001</v>
      </c>
    </row>
    <row r="82" spans="1:22" ht="15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44">
        <f>K74+K75+K77+K78+K79+K80</f>
        <v>9612.2900000000009</v>
      </c>
      <c r="K82" s="44"/>
      <c r="L82" s="25">
        <f>IF(Source!I117&lt;&gt;0, ROUND(J82/Source!I117, 2), 0)</f>
        <v>96122.9</v>
      </c>
      <c r="P82" s="23">
        <f>J82</f>
        <v>9612.2900000000009</v>
      </c>
    </row>
    <row r="83" spans="1:22" ht="42.75" x14ac:dyDescent="0.2">
      <c r="A83" s="18">
        <v>5</v>
      </c>
      <c r="B83" s="18">
        <v>5</v>
      </c>
      <c r="C83" s="18" t="str">
        <f>Source!F118</f>
        <v>1.16-3201-2-2/1</v>
      </c>
      <c r="D83" s="18" t="str">
        <f>Source!G118</f>
        <v>Укрепление расшатавшихся санитарно-технических приборов - унитазы и биде</v>
      </c>
      <c r="E83" s="19" t="str">
        <f>Source!H118</f>
        <v>100 шт.</v>
      </c>
      <c r="F83" s="9">
        <f>Source!I118</f>
        <v>0.11</v>
      </c>
      <c r="G83" s="21"/>
      <c r="H83" s="20"/>
      <c r="I83" s="9"/>
      <c r="J83" s="9"/>
      <c r="K83" s="21"/>
      <c r="L83" s="21"/>
      <c r="Q83">
        <f>ROUND((Source!BZ118/100)*ROUND((Source!AF118*Source!AV118)*Source!I118, 2), 2)</f>
        <v>5929.44</v>
      </c>
      <c r="R83">
        <f>Source!X118</f>
        <v>5929.44</v>
      </c>
      <c r="S83">
        <f>ROUND((Source!CA118/100)*ROUND((Source!AF118*Source!AV118)*Source!I118, 2), 2)</f>
        <v>847.06</v>
      </c>
      <c r="T83">
        <f>Source!Y118</f>
        <v>847.06</v>
      </c>
      <c r="U83">
        <f>ROUND((175/100)*ROUND((Source!AE118*Source!AV118)*Source!I118, 2), 2)</f>
        <v>0.14000000000000001</v>
      </c>
      <c r="V83">
        <f>ROUND((108/100)*ROUND(Source!CS118*Source!I118, 2), 2)</f>
        <v>0.09</v>
      </c>
    </row>
    <row r="84" spans="1:22" x14ac:dyDescent="0.2">
      <c r="D84" s="22" t="str">
        <f>"Объем: "&amp;Source!I118&amp;"=11/"&amp;"100"</f>
        <v>Объем: 0,11=11/100</v>
      </c>
    </row>
    <row r="85" spans="1:22" ht="14.25" x14ac:dyDescent="0.2">
      <c r="A85" s="18"/>
      <c r="B85" s="18"/>
      <c r="C85" s="18"/>
      <c r="D85" s="18" t="s">
        <v>536</v>
      </c>
      <c r="E85" s="19"/>
      <c r="F85" s="9"/>
      <c r="G85" s="21">
        <f>Source!AO118</f>
        <v>77005.72</v>
      </c>
      <c r="H85" s="20" t="str">
        <f>Source!DG118</f>
        <v/>
      </c>
      <c r="I85" s="9">
        <f>Source!AV118</f>
        <v>1</v>
      </c>
      <c r="J85" s="9">
        <f>IF(Source!BA118&lt;&gt; 0, Source!BA118, 1)</f>
        <v>1</v>
      </c>
      <c r="K85" s="21">
        <f>Source!S118</f>
        <v>8470.6299999999992</v>
      </c>
      <c r="L85" s="21"/>
    </row>
    <row r="86" spans="1:22" ht="14.25" x14ac:dyDescent="0.2">
      <c r="A86" s="18"/>
      <c r="B86" s="18"/>
      <c r="C86" s="18"/>
      <c r="D86" s="18" t="s">
        <v>542</v>
      </c>
      <c r="E86" s="19"/>
      <c r="F86" s="9"/>
      <c r="G86" s="21">
        <f>Source!AM118</f>
        <v>61.83</v>
      </c>
      <c r="H86" s="20" t="str">
        <f>Source!DE118</f>
        <v/>
      </c>
      <c r="I86" s="9">
        <f>Source!AV118</f>
        <v>1</v>
      </c>
      <c r="J86" s="9">
        <f>IF(Source!BB118&lt;&gt; 0, Source!BB118, 1)</f>
        <v>1</v>
      </c>
      <c r="K86" s="21">
        <f>Source!Q118</f>
        <v>6.8</v>
      </c>
      <c r="L86" s="21"/>
    </row>
    <row r="87" spans="1:22" ht="14.25" x14ac:dyDescent="0.2">
      <c r="A87" s="18"/>
      <c r="B87" s="18"/>
      <c r="C87" s="18"/>
      <c r="D87" s="18" t="s">
        <v>543</v>
      </c>
      <c r="E87" s="19"/>
      <c r="F87" s="9"/>
      <c r="G87" s="21">
        <f>Source!AN118</f>
        <v>0.7</v>
      </c>
      <c r="H87" s="20" t="str">
        <f>Source!DF118</f>
        <v/>
      </c>
      <c r="I87" s="9">
        <f>Source!AV118</f>
        <v>1</v>
      </c>
      <c r="J87" s="9">
        <f>IF(Source!BS118&lt;&gt; 0, Source!BS118, 1)</f>
        <v>1</v>
      </c>
      <c r="K87" s="26">
        <f>Source!R118</f>
        <v>0.08</v>
      </c>
      <c r="L87" s="21"/>
    </row>
    <row r="88" spans="1:22" ht="14.25" x14ac:dyDescent="0.2">
      <c r="A88" s="18"/>
      <c r="B88" s="18"/>
      <c r="C88" s="18"/>
      <c r="D88" s="18" t="s">
        <v>544</v>
      </c>
      <c r="E88" s="19"/>
      <c r="F88" s="9"/>
      <c r="G88" s="21">
        <f>Source!AL118</f>
        <v>776.55</v>
      </c>
      <c r="H88" s="20" t="str">
        <f>Source!DD118</f>
        <v/>
      </c>
      <c r="I88" s="9">
        <f>Source!AW118</f>
        <v>1</v>
      </c>
      <c r="J88" s="9">
        <f>IF(Source!BC118&lt;&gt; 0, Source!BC118, 1)</f>
        <v>1</v>
      </c>
      <c r="K88" s="21">
        <f>Source!P118</f>
        <v>85.42</v>
      </c>
      <c r="L88" s="21"/>
    </row>
    <row r="89" spans="1:22" ht="14.25" x14ac:dyDescent="0.2">
      <c r="A89" s="18"/>
      <c r="B89" s="18"/>
      <c r="C89" s="18"/>
      <c r="D89" s="18" t="s">
        <v>537</v>
      </c>
      <c r="E89" s="19" t="s">
        <v>538</v>
      </c>
      <c r="F89" s="9">
        <f>Source!AT118</f>
        <v>70</v>
      </c>
      <c r="G89" s="21"/>
      <c r="H89" s="20"/>
      <c r="I89" s="9"/>
      <c r="J89" s="9"/>
      <c r="K89" s="21">
        <f>SUM(R83:R88)</f>
        <v>5929.44</v>
      </c>
      <c r="L89" s="21"/>
    </row>
    <row r="90" spans="1:22" ht="14.25" x14ac:dyDescent="0.2">
      <c r="A90" s="18"/>
      <c r="B90" s="18"/>
      <c r="C90" s="18"/>
      <c r="D90" s="18" t="s">
        <v>539</v>
      </c>
      <c r="E90" s="19" t="s">
        <v>538</v>
      </c>
      <c r="F90" s="9">
        <f>Source!AU118</f>
        <v>10</v>
      </c>
      <c r="G90" s="21"/>
      <c r="H90" s="20"/>
      <c r="I90" s="9"/>
      <c r="J90" s="9"/>
      <c r="K90" s="21">
        <f>SUM(T83:T89)</f>
        <v>847.06</v>
      </c>
      <c r="L90" s="21"/>
    </row>
    <row r="91" spans="1:22" ht="14.25" x14ac:dyDescent="0.2">
      <c r="A91" s="18"/>
      <c r="B91" s="18"/>
      <c r="C91" s="18"/>
      <c r="D91" s="18" t="s">
        <v>545</v>
      </c>
      <c r="E91" s="19" t="s">
        <v>538</v>
      </c>
      <c r="F91" s="9">
        <f>108</f>
        <v>108</v>
      </c>
      <c r="G91" s="21"/>
      <c r="H91" s="20"/>
      <c r="I91" s="9"/>
      <c r="J91" s="9"/>
      <c r="K91" s="21">
        <f>SUM(V83:V90)</f>
        <v>0.09</v>
      </c>
      <c r="L91" s="21"/>
    </row>
    <row r="92" spans="1:22" ht="14.25" x14ac:dyDescent="0.2">
      <c r="A92" s="18"/>
      <c r="B92" s="18"/>
      <c r="C92" s="18"/>
      <c r="D92" s="18" t="s">
        <v>540</v>
      </c>
      <c r="E92" s="19" t="s">
        <v>541</v>
      </c>
      <c r="F92" s="9">
        <f>Source!AQ118</f>
        <v>151.93</v>
      </c>
      <c r="G92" s="21"/>
      <c r="H92" s="20" t="str">
        <f>Source!DI118</f>
        <v/>
      </c>
      <c r="I92" s="9">
        <f>Source!AV118</f>
        <v>1</v>
      </c>
      <c r="J92" s="9"/>
      <c r="K92" s="21"/>
      <c r="L92" s="21">
        <f>Source!U118</f>
        <v>16.712300000000003</v>
      </c>
    </row>
    <row r="93" spans="1:22" ht="15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44">
        <f>K85+K86+K88+K89+K90+K91</f>
        <v>15339.439999999997</v>
      </c>
      <c r="K93" s="44"/>
      <c r="L93" s="25">
        <f>IF(Source!I118&lt;&gt;0, ROUND(J93/Source!I118, 2), 0)</f>
        <v>139449.45000000001</v>
      </c>
      <c r="P93" s="23">
        <f>J93</f>
        <v>15339.439999999997</v>
      </c>
    </row>
    <row r="94" spans="1:22" ht="57" x14ac:dyDescent="0.2">
      <c r="A94" s="18">
        <v>6</v>
      </c>
      <c r="B94" s="18">
        <v>6</v>
      </c>
      <c r="C94" s="18" t="str">
        <f>Source!F119</f>
        <v>1.23-2103-41-1/1</v>
      </c>
      <c r="D94" s="18" t="str">
        <f>Source!G119</f>
        <v>Техническое обслуживание регулирующего клапана / Смеситель для душа; Смеситель для мойки; Смеситель для умывальников</v>
      </c>
      <c r="E94" s="19" t="str">
        <f>Source!H119</f>
        <v>шт.</v>
      </c>
      <c r="F94" s="9">
        <f>Source!I119</f>
        <v>12</v>
      </c>
      <c r="G94" s="21"/>
      <c r="H94" s="20"/>
      <c r="I94" s="9"/>
      <c r="J94" s="9"/>
      <c r="K94" s="21"/>
      <c r="L94" s="21"/>
      <c r="Q94">
        <f>ROUND((Source!BZ119/100)*ROUND((Source!AF119*Source!AV119)*Source!I119, 2), 2)</f>
        <v>1747.2</v>
      </c>
      <c r="R94">
        <f>Source!X119</f>
        <v>1747.2</v>
      </c>
      <c r="S94">
        <f>ROUND((Source!CA119/100)*ROUND((Source!AF119*Source!AV119)*Source!I119, 2), 2)</f>
        <v>249.6</v>
      </c>
      <c r="T94">
        <f>Source!Y119</f>
        <v>249.6</v>
      </c>
      <c r="U94">
        <f>ROUND((175/100)*ROUND((Source!AE119*Source!AV119)*Source!I119, 2), 2)</f>
        <v>1040.97</v>
      </c>
      <c r="V94">
        <f>ROUND((108/100)*ROUND(Source!CS119*Source!I119, 2), 2)</f>
        <v>642.42999999999995</v>
      </c>
    </row>
    <row r="95" spans="1:22" x14ac:dyDescent="0.2">
      <c r="D95" s="22" t="str">
        <f>"Объем: "&amp;Source!I119&amp;"=2+"&amp;"8+"&amp;"1+"&amp;"1"</f>
        <v>Объем: 12=2+8+1+1</v>
      </c>
    </row>
    <row r="96" spans="1:22" ht="14.25" x14ac:dyDescent="0.2">
      <c r="A96" s="18"/>
      <c r="B96" s="18"/>
      <c r="C96" s="18"/>
      <c r="D96" s="18" t="s">
        <v>536</v>
      </c>
      <c r="E96" s="19"/>
      <c r="F96" s="9"/>
      <c r="G96" s="21">
        <f>Source!AO119</f>
        <v>208</v>
      </c>
      <c r="H96" s="20" t="str">
        <f>Source!DG119</f>
        <v/>
      </c>
      <c r="I96" s="9">
        <f>Source!AV119</f>
        <v>1</v>
      </c>
      <c r="J96" s="9">
        <f>IF(Source!BA119&lt;&gt; 0, Source!BA119, 1)</f>
        <v>1</v>
      </c>
      <c r="K96" s="21">
        <f>Source!S119</f>
        <v>2496</v>
      </c>
      <c r="L96" s="21"/>
    </row>
    <row r="97" spans="1:22" ht="14.25" x14ac:dyDescent="0.2">
      <c r="A97" s="18"/>
      <c r="B97" s="18"/>
      <c r="C97" s="18"/>
      <c r="D97" s="18" t="s">
        <v>542</v>
      </c>
      <c r="E97" s="19"/>
      <c r="F97" s="9"/>
      <c r="G97" s="21">
        <f>Source!AM119</f>
        <v>78.180000000000007</v>
      </c>
      <c r="H97" s="20" t="str">
        <f>Source!DE119</f>
        <v/>
      </c>
      <c r="I97" s="9">
        <f>Source!AV119</f>
        <v>1</v>
      </c>
      <c r="J97" s="9">
        <f>IF(Source!BB119&lt;&gt; 0, Source!BB119, 1)</f>
        <v>1</v>
      </c>
      <c r="K97" s="21">
        <f>Source!Q119</f>
        <v>938.16</v>
      </c>
      <c r="L97" s="21"/>
    </row>
    <row r="98" spans="1:22" ht="14.25" x14ac:dyDescent="0.2">
      <c r="A98" s="18"/>
      <c r="B98" s="18"/>
      <c r="C98" s="18"/>
      <c r="D98" s="18" t="s">
        <v>543</v>
      </c>
      <c r="E98" s="19"/>
      <c r="F98" s="9"/>
      <c r="G98" s="21">
        <f>Source!AN119</f>
        <v>49.57</v>
      </c>
      <c r="H98" s="20" t="str">
        <f>Source!DF119</f>
        <v/>
      </c>
      <c r="I98" s="9">
        <f>Source!AV119</f>
        <v>1</v>
      </c>
      <c r="J98" s="9">
        <f>IF(Source!BS119&lt;&gt; 0, Source!BS119, 1)</f>
        <v>1</v>
      </c>
      <c r="K98" s="26">
        <f>Source!R119</f>
        <v>594.84</v>
      </c>
      <c r="L98" s="21"/>
    </row>
    <row r="99" spans="1:22" ht="14.25" x14ac:dyDescent="0.2">
      <c r="A99" s="18"/>
      <c r="B99" s="18"/>
      <c r="C99" s="18"/>
      <c r="D99" s="18" t="s">
        <v>537</v>
      </c>
      <c r="E99" s="19" t="s">
        <v>538</v>
      </c>
      <c r="F99" s="9">
        <f>Source!AT119</f>
        <v>70</v>
      </c>
      <c r="G99" s="21"/>
      <c r="H99" s="20"/>
      <c r="I99" s="9"/>
      <c r="J99" s="9"/>
      <c r="K99" s="21">
        <f>SUM(R94:R98)</f>
        <v>1747.2</v>
      </c>
      <c r="L99" s="21"/>
    </row>
    <row r="100" spans="1:22" ht="14.25" x14ac:dyDescent="0.2">
      <c r="A100" s="18"/>
      <c r="B100" s="18"/>
      <c r="C100" s="18"/>
      <c r="D100" s="18" t="s">
        <v>539</v>
      </c>
      <c r="E100" s="19" t="s">
        <v>538</v>
      </c>
      <c r="F100" s="9">
        <f>Source!AU119</f>
        <v>10</v>
      </c>
      <c r="G100" s="21"/>
      <c r="H100" s="20"/>
      <c r="I100" s="9"/>
      <c r="J100" s="9"/>
      <c r="K100" s="21">
        <f>SUM(T94:T99)</f>
        <v>249.6</v>
      </c>
      <c r="L100" s="21"/>
    </row>
    <row r="101" spans="1:22" ht="14.25" x14ac:dyDescent="0.2">
      <c r="A101" s="18"/>
      <c r="B101" s="18"/>
      <c r="C101" s="18"/>
      <c r="D101" s="18" t="s">
        <v>545</v>
      </c>
      <c r="E101" s="19" t="s">
        <v>538</v>
      </c>
      <c r="F101" s="9">
        <f>108</f>
        <v>108</v>
      </c>
      <c r="G101" s="21"/>
      <c r="H101" s="20"/>
      <c r="I101" s="9"/>
      <c r="J101" s="9"/>
      <c r="K101" s="21">
        <f>SUM(V94:V100)</f>
        <v>642.42999999999995</v>
      </c>
      <c r="L101" s="21"/>
    </row>
    <row r="102" spans="1:22" ht="14.25" x14ac:dyDescent="0.2">
      <c r="A102" s="18"/>
      <c r="B102" s="18"/>
      <c r="C102" s="18"/>
      <c r="D102" s="18" t="s">
        <v>540</v>
      </c>
      <c r="E102" s="19" t="s">
        <v>541</v>
      </c>
      <c r="F102" s="9">
        <f>Source!AQ119</f>
        <v>0.37</v>
      </c>
      <c r="G102" s="21"/>
      <c r="H102" s="20" t="str">
        <f>Source!DI119</f>
        <v/>
      </c>
      <c r="I102" s="9">
        <f>Source!AV119</f>
        <v>1</v>
      </c>
      <c r="J102" s="9"/>
      <c r="K102" s="21"/>
      <c r="L102" s="21">
        <f>Source!U119</f>
        <v>4.4399999999999995</v>
      </c>
    </row>
    <row r="103" spans="1:22" ht="15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44">
        <f>K96+K97+K99+K100+K101</f>
        <v>6073.39</v>
      </c>
      <c r="K103" s="44"/>
      <c r="L103" s="25">
        <f>IF(Source!I119&lt;&gt;0, ROUND(J103/Source!I119, 2), 0)</f>
        <v>506.12</v>
      </c>
      <c r="P103" s="23">
        <f>J103</f>
        <v>6073.39</v>
      </c>
    </row>
    <row r="104" spans="1:22" ht="28.5" x14ac:dyDescent="0.2">
      <c r="A104" s="18">
        <v>7</v>
      </c>
      <c r="B104" s="18">
        <v>7</v>
      </c>
      <c r="C104" s="18" t="str">
        <f>Source!F120</f>
        <v>1.16-3201-1-1/1</v>
      </c>
      <c r="D104" s="18" t="str">
        <f>Source!G120</f>
        <v>Регулировка смывного бачка</v>
      </c>
      <c r="E104" s="19" t="str">
        <f>Source!H120</f>
        <v>100 приборов</v>
      </c>
      <c r="F104" s="9">
        <f>Source!I120</f>
        <v>0.11</v>
      </c>
      <c r="G104" s="21"/>
      <c r="H104" s="20"/>
      <c r="I104" s="9"/>
      <c r="J104" s="9"/>
      <c r="K104" s="21"/>
      <c r="L104" s="21"/>
      <c r="Q104">
        <f>ROUND((Source!BZ120/100)*ROUND((Source!AF120*Source!AV120)*Source!I120, 2), 2)</f>
        <v>1224</v>
      </c>
      <c r="R104">
        <f>Source!X120</f>
        <v>1224</v>
      </c>
      <c r="S104">
        <f>ROUND((Source!CA120/100)*ROUND((Source!AF120*Source!AV120)*Source!I120, 2), 2)</f>
        <v>174.86</v>
      </c>
      <c r="T104">
        <f>Source!Y120</f>
        <v>174.86</v>
      </c>
      <c r="U104">
        <f>ROUND((175/100)*ROUND((Source!AE120*Source!AV120)*Source!I120, 2), 2)</f>
        <v>0</v>
      </c>
      <c r="V104">
        <f>ROUND((108/100)*ROUND(Source!CS120*Source!I120, 2), 2)</f>
        <v>0</v>
      </c>
    </row>
    <row r="105" spans="1:22" x14ac:dyDescent="0.2">
      <c r="D105" s="22" t="str">
        <f>"Объем: "&amp;Source!I120&amp;"=11/"&amp;"100"</f>
        <v>Объем: 0,11=11/100</v>
      </c>
    </row>
    <row r="106" spans="1:22" ht="14.25" x14ac:dyDescent="0.2">
      <c r="A106" s="18"/>
      <c r="B106" s="18"/>
      <c r="C106" s="18"/>
      <c r="D106" s="18" t="s">
        <v>536</v>
      </c>
      <c r="E106" s="19"/>
      <c r="F106" s="9"/>
      <c r="G106" s="21">
        <f>Source!AO120</f>
        <v>15896.11</v>
      </c>
      <c r="H106" s="20" t="str">
        <f>Source!DG120</f>
        <v/>
      </c>
      <c r="I106" s="9">
        <f>Source!AV120</f>
        <v>1</v>
      </c>
      <c r="J106" s="9">
        <f>IF(Source!BA120&lt;&gt; 0, Source!BA120, 1)</f>
        <v>1</v>
      </c>
      <c r="K106" s="21">
        <f>Source!S120</f>
        <v>1748.57</v>
      </c>
      <c r="L106" s="21"/>
    </row>
    <row r="107" spans="1:22" ht="14.25" x14ac:dyDescent="0.2">
      <c r="A107" s="18"/>
      <c r="B107" s="18"/>
      <c r="C107" s="18"/>
      <c r="D107" s="18" t="s">
        <v>537</v>
      </c>
      <c r="E107" s="19" t="s">
        <v>538</v>
      </c>
      <c r="F107" s="9">
        <f>Source!AT120</f>
        <v>70</v>
      </c>
      <c r="G107" s="21"/>
      <c r="H107" s="20"/>
      <c r="I107" s="9"/>
      <c r="J107" s="9"/>
      <c r="K107" s="21">
        <f>SUM(R104:R106)</f>
        <v>1224</v>
      </c>
      <c r="L107" s="21"/>
    </row>
    <row r="108" spans="1:22" ht="14.25" x14ac:dyDescent="0.2">
      <c r="A108" s="18"/>
      <c r="B108" s="18"/>
      <c r="C108" s="18"/>
      <c r="D108" s="18" t="s">
        <v>539</v>
      </c>
      <c r="E108" s="19" t="s">
        <v>538</v>
      </c>
      <c r="F108" s="9">
        <f>Source!AU120</f>
        <v>10</v>
      </c>
      <c r="G108" s="21"/>
      <c r="H108" s="20"/>
      <c r="I108" s="9"/>
      <c r="J108" s="9"/>
      <c r="K108" s="21">
        <f>SUM(T104:T107)</f>
        <v>174.86</v>
      </c>
      <c r="L108" s="21"/>
    </row>
    <row r="109" spans="1:22" ht="14.25" x14ac:dyDescent="0.2">
      <c r="A109" s="18"/>
      <c r="B109" s="18"/>
      <c r="C109" s="18"/>
      <c r="D109" s="18" t="s">
        <v>540</v>
      </c>
      <c r="E109" s="19" t="s">
        <v>541</v>
      </c>
      <c r="F109" s="9">
        <f>Source!AQ120</f>
        <v>26.7</v>
      </c>
      <c r="G109" s="21"/>
      <c r="H109" s="20" t="str">
        <f>Source!DI120</f>
        <v/>
      </c>
      <c r="I109" s="9">
        <f>Source!AV120</f>
        <v>1</v>
      </c>
      <c r="J109" s="9"/>
      <c r="K109" s="21"/>
      <c r="L109" s="21">
        <f>Source!U120</f>
        <v>2.9369999999999998</v>
      </c>
    </row>
    <row r="110" spans="1:22" ht="15" x14ac:dyDescent="0.25">
      <c r="A110" s="24"/>
      <c r="B110" s="24"/>
      <c r="C110" s="24"/>
      <c r="D110" s="24"/>
      <c r="E110" s="24"/>
      <c r="F110" s="24"/>
      <c r="G110" s="24"/>
      <c r="H110" s="24"/>
      <c r="I110" s="24"/>
      <c r="J110" s="44">
        <f>K106+K107+K108</f>
        <v>3147.43</v>
      </c>
      <c r="K110" s="44"/>
      <c r="L110" s="25">
        <f>IF(Source!I120&lt;&gt;0, ROUND(J110/Source!I120, 2), 0)</f>
        <v>28613</v>
      </c>
      <c r="P110" s="23">
        <f>J110</f>
        <v>3147.43</v>
      </c>
    </row>
    <row r="111" spans="1:22" ht="28.5" x14ac:dyDescent="0.2">
      <c r="A111" s="18">
        <v>8</v>
      </c>
      <c r="B111" s="18">
        <v>8</v>
      </c>
      <c r="C111" s="18" t="str">
        <f>Source!F121</f>
        <v>1.16-2203-1-1/1</v>
      </c>
      <c r="D111" s="18" t="str">
        <f>Source!G121</f>
        <v>Прочистка сифонов</v>
      </c>
      <c r="E111" s="19" t="str">
        <f>Source!H121</f>
        <v>100 шт.</v>
      </c>
      <c r="F111" s="9">
        <f>Source!I121</f>
        <v>0.12</v>
      </c>
      <c r="G111" s="21"/>
      <c r="H111" s="20"/>
      <c r="I111" s="9"/>
      <c r="J111" s="9"/>
      <c r="K111" s="21"/>
      <c r="L111" s="21"/>
      <c r="Q111">
        <f>ROUND((Source!BZ121/100)*ROUND((Source!AF121*Source!AV121)*Source!I121, 2), 2)</f>
        <v>4771.8500000000004</v>
      </c>
      <c r="R111">
        <f>Source!X121</f>
        <v>4771.8500000000004</v>
      </c>
      <c r="S111">
        <f>ROUND((Source!CA121/100)*ROUND((Source!AF121*Source!AV121)*Source!I121, 2), 2)</f>
        <v>681.69</v>
      </c>
      <c r="T111">
        <f>Source!Y121</f>
        <v>681.69</v>
      </c>
      <c r="U111">
        <f>ROUND((175/100)*ROUND((Source!AE121*Source!AV121)*Source!I121, 2), 2)</f>
        <v>0</v>
      </c>
      <c r="V111">
        <f>ROUND((108/100)*ROUND(Source!CS121*Source!I121, 2), 2)</f>
        <v>0</v>
      </c>
    </row>
    <row r="112" spans="1:22" x14ac:dyDescent="0.2">
      <c r="D112" s="22" t="str">
        <f>"Объем: "&amp;Source!I121&amp;"=(10+"&amp;"1+"&amp;"1)/"&amp;"100"</f>
        <v>Объем: 0,12=(10+1+1)/100</v>
      </c>
    </row>
    <row r="113" spans="1:16" ht="14.25" x14ac:dyDescent="0.2">
      <c r="A113" s="18"/>
      <c r="B113" s="18"/>
      <c r="C113" s="18"/>
      <c r="D113" s="18" t="s">
        <v>536</v>
      </c>
      <c r="E113" s="19"/>
      <c r="F113" s="9"/>
      <c r="G113" s="21">
        <f>Source!AO121</f>
        <v>14201.94</v>
      </c>
      <c r="H113" s="20" t="str">
        <f>Source!DG121</f>
        <v>)*4</v>
      </c>
      <c r="I113" s="9">
        <f>Source!AV121</f>
        <v>1</v>
      </c>
      <c r="J113" s="9">
        <f>IF(Source!BA121&lt;&gt; 0, Source!BA121, 1)</f>
        <v>1</v>
      </c>
      <c r="K113" s="21">
        <f>Source!S121</f>
        <v>6816.93</v>
      </c>
      <c r="L113" s="21"/>
    </row>
    <row r="114" spans="1:16" ht="14.25" x14ac:dyDescent="0.2">
      <c r="A114" s="18"/>
      <c r="B114" s="18"/>
      <c r="C114" s="18"/>
      <c r="D114" s="18" t="s">
        <v>544</v>
      </c>
      <c r="E114" s="19"/>
      <c r="F114" s="9"/>
      <c r="G114" s="21">
        <f>Source!AL121</f>
        <v>243.57</v>
      </c>
      <c r="H114" s="20" t="str">
        <f>Source!DD121</f>
        <v>)*4</v>
      </c>
      <c r="I114" s="9">
        <f>Source!AW121</f>
        <v>1</v>
      </c>
      <c r="J114" s="9">
        <f>IF(Source!BC121&lt;&gt; 0, Source!BC121, 1)</f>
        <v>1</v>
      </c>
      <c r="K114" s="21">
        <f>Source!P121</f>
        <v>116.91</v>
      </c>
      <c r="L114" s="21"/>
    </row>
    <row r="115" spans="1:16" ht="14.25" x14ac:dyDescent="0.2">
      <c r="A115" s="18"/>
      <c r="B115" s="18"/>
      <c r="C115" s="18"/>
      <c r="D115" s="18" t="s">
        <v>537</v>
      </c>
      <c r="E115" s="19" t="s">
        <v>538</v>
      </c>
      <c r="F115" s="9">
        <f>Source!AT121</f>
        <v>70</v>
      </c>
      <c r="G115" s="21"/>
      <c r="H115" s="20"/>
      <c r="I115" s="9"/>
      <c r="J115" s="9"/>
      <c r="K115" s="21">
        <f>SUM(R111:R114)</f>
        <v>4771.8500000000004</v>
      </c>
      <c r="L115" s="21"/>
    </row>
    <row r="116" spans="1:16" ht="14.25" x14ac:dyDescent="0.2">
      <c r="A116" s="18"/>
      <c r="B116" s="18"/>
      <c r="C116" s="18"/>
      <c r="D116" s="18" t="s">
        <v>539</v>
      </c>
      <c r="E116" s="19" t="s">
        <v>538</v>
      </c>
      <c r="F116" s="9">
        <f>Source!AU121</f>
        <v>10</v>
      </c>
      <c r="G116" s="21"/>
      <c r="H116" s="20"/>
      <c r="I116" s="9"/>
      <c r="J116" s="9"/>
      <c r="K116" s="21">
        <f>SUM(T111:T115)</f>
        <v>681.69</v>
      </c>
      <c r="L116" s="21"/>
    </row>
    <row r="117" spans="1:16" ht="14.25" x14ac:dyDescent="0.2">
      <c r="A117" s="18"/>
      <c r="B117" s="18"/>
      <c r="C117" s="18"/>
      <c r="D117" s="18" t="s">
        <v>540</v>
      </c>
      <c r="E117" s="19" t="s">
        <v>541</v>
      </c>
      <c r="F117" s="9">
        <f>Source!AQ121</f>
        <v>28.02</v>
      </c>
      <c r="G117" s="21"/>
      <c r="H117" s="20" t="str">
        <f>Source!DI121</f>
        <v>)*4</v>
      </c>
      <c r="I117" s="9">
        <f>Source!AV121</f>
        <v>1</v>
      </c>
      <c r="J117" s="9"/>
      <c r="K117" s="21"/>
      <c r="L117" s="21">
        <f>Source!U121</f>
        <v>13.449599999999998</v>
      </c>
    </row>
    <row r="118" spans="1:16" ht="15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44">
        <f>K113+K114+K115+K116</f>
        <v>12387.380000000001</v>
      </c>
      <c r="K118" s="44"/>
      <c r="L118" s="25">
        <f>IF(Source!I121&lt;&gt;0, ROUND(J118/Source!I121, 2), 0)</f>
        <v>103228.17</v>
      </c>
      <c r="P118" s="23">
        <f>J118</f>
        <v>12387.380000000001</v>
      </c>
    </row>
    <row r="120" spans="1:16" ht="15" x14ac:dyDescent="0.25">
      <c r="A120" s="43" t="str">
        <f>CONCATENATE("Итого по подразделу: ",IF(Source!G124&lt;&gt;"Новый подраздел", Source!G124, ""))</f>
        <v>Итого по подразделу: Сантехприборы и оборудование</v>
      </c>
      <c r="B120" s="43"/>
      <c r="C120" s="43"/>
      <c r="D120" s="43"/>
      <c r="E120" s="43"/>
      <c r="F120" s="43"/>
      <c r="G120" s="43"/>
      <c r="H120" s="43"/>
      <c r="I120" s="43"/>
      <c r="J120" s="41">
        <f>SUM(P71:P119)</f>
        <v>46559.929999999993</v>
      </c>
      <c r="K120" s="42"/>
      <c r="L120" s="27"/>
    </row>
    <row r="123" spans="1:16" ht="15" x14ac:dyDescent="0.25">
      <c r="A123" s="43" t="str">
        <f>CONCATENATE("Итого по разделу: ",IF(Source!G303&lt;&gt;"Новый раздел", Source!G303, ""))</f>
        <v>Итого по разделу: Водоснабжение и водоотведение</v>
      </c>
      <c r="B123" s="43"/>
      <c r="C123" s="43"/>
      <c r="D123" s="43"/>
      <c r="E123" s="43"/>
      <c r="F123" s="43"/>
      <c r="G123" s="43"/>
      <c r="H123" s="43"/>
      <c r="I123" s="43"/>
      <c r="J123" s="41">
        <f>SUM(P40:P122)</f>
        <v>57880.95</v>
      </c>
      <c r="K123" s="42"/>
      <c r="L123" s="27"/>
    </row>
    <row r="126" spans="1:16" ht="16.5" x14ac:dyDescent="0.25">
      <c r="A126" s="45" t="str">
        <f>CONCATENATE("Раздел: ",IF(Source!G333&lt;&gt;"Новый раздел", Source!G333, ""))</f>
        <v>Раздел: Внутренние сети отопления</v>
      </c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</row>
    <row r="128" spans="1:16" ht="16.5" x14ac:dyDescent="0.25">
      <c r="A128" s="45" t="str">
        <f>CONCATENATE("Подраздел: ",IF(Source!G337&lt;&gt;"Новый подраздел", Source!G337, ""))</f>
        <v>Подраздел: Отопление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22" ht="57" x14ac:dyDescent="0.2">
      <c r="A129" s="18">
        <v>9</v>
      </c>
      <c r="B129" s="18">
        <v>9</v>
      </c>
      <c r="C129" s="18" t="str">
        <f>Source!F341</f>
        <v>1.21-2303-50-1/1</v>
      </c>
      <c r="D129" s="18" t="str">
        <f>Source!G341</f>
        <v>Техническое обслуживание  конвектора электрического настенного крепления, с механическим термостатом, мощность до 2,0 кВт</v>
      </c>
      <c r="E129" s="19" t="str">
        <f>Source!H341</f>
        <v>шт.</v>
      </c>
      <c r="F129" s="9">
        <f>Source!I341</f>
        <v>26</v>
      </c>
      <c r="G129" s="21"/>
      <c r="H129" s="20"/>
      <c r="I129" s="9"/>
      <c r="J129" s="9"/>
      <c r="K129" s="21"/>
      <c r="L129" s="21"/>
      <c r="Q129">
        <f>ROUND((Source!BZ341/100)*ROUND((Source!AF341*Source!AV341)*Source!I341, 2), 2)</f>
        <v>1573.39</v>
      </c>
      <c r="R129">
        <f>Source!X341</f>
        <v>1573.39</v>
      </c>
      <c r="S129">
        <f>ROUND((Source!CA341/100)*ROUND((Source!AF341*Source!AV341)*Source!I341, 2), 2)</f>
        <v>224.77</v>
      </c>
      <c r="T129">
        <f>Source!Y341</f>
        <v>224.77</v>
      </c>
      <c r="U129">
        <f>ROUND((175/100)*ROUND((Source!AE341*Source!AV341)*Source!I341, 2), 2)</f>
        <v>0</v>
      </c>
      <c r="V129">
        <f>ROUND((108/100)*ROUND(Source!CS341*Source!I341, 2), 2)</f>
        <v>0</v>
      </c>
    </row>
    <row r="130" spans="1:22" x14ac:dyDescent="0.2">
      <c r="D130" s="22" t="str">
        <f>"Объем: "&amp;Source!I341&amp;"=5+"&amp;"17+"&amp;"4"</f>
        <v>Объем: 26=5+17+4</v>
      </c>
    </row>
    <row r="131" spans="1:22" ht="14.25" x14ac:dyDescent="0.2">
      <c r="A131" s="18"/>
      <c r="B131" s="18"/>
      <c r="C131" s="18"/>
      <c r="D131" s="18" t="s">
        <v>536</v>
      </c>
      <c r="E131" s="19"/>
      <c r="F131" s="9"/>
      <c r="G131" s="21">
        <f>Source!AO341</f>
        <v>86.45</v>
      </c>
      <c r="H131" s="20" t="str">
        <f>Source!DG341</f>
        <v/>
      </c>
      <c r="I131" s="9">
        <f>Source!AV341</f>
        <v>1</v>
      </c>
      <c r="J131" s="9">
        <f>IF(Source!BA341&lt;&gt; 0, Source!BA341, 1)</f>
        <v>1</v>
      </c>
      <c r="K131" s="21">
        <f>Source!S341</f>
        <v>2247.6999999999998</v>
      </c>
      <c r="L131" s="21"/>
    </row>
    <row r="132" spans="1:22" ht="14.25" x14ac:dyDescent="0.2">
      <c r="A132" s="18"/>
      <c r="B132" s="18"/>
      <c r="C132" s="18"/>
      <c r="D132" s="18" t="s">
        <v>542</v>
      </c>
      <c r="E132" s="19"/>
      <c r="F132" s="9"/>
      <c r="G132" s="21">
        <f>Source!AM341</f>
        <v>0.23</v>
      </c>
      <c r="H132" s="20" t="str">
        <f>Source!DE341</f>
        <v/>
      </c>
      <c r="I132" s="9">
        <f>Source!AV341</f>
        <v>1</v>
      </c>
      <c r="J132" s="9">
        <f>IF(Source!BB341&lt;&gt; 0, Source!BB341, 1)</f>
        <v>1</v>
      </c>
      <c r="K132" s="21">
        <f>Source!Q341</f>
        <v>5.98</v>
      </c>
      <c r="L132" s="21"/>
    </row>
    <row r="133" spans="1:22" ht="14.25" x14ac:dyDescent="0.2">
      <c r="A133" s="18"/>
      <c r="B133" s="18"/>
      <c r="C133" s="18"/>
      <c r="D133" s="18" t="s">
        <v>544</v>
      </c>
      <c r="E133" s="19"/>
      <c r="F133" s="9"/>
      <c r="G133" s="21">
        <f>Source!AL341</f>
        <v>2.2000000000000002</v>
      </c>
      <c r="H133" s="20" t="str">
        <f>Source!DD341</f>
        <v/>
      </c>
      <c r="I133" s="9">
        <f>Source!AW341</f>
        <v>1</v>
      </c>
      <c r="J133" s="9">
        <f>IF(Source!BC341&lt;&gt; 0, Source!BC341, 1)</f>
        <v>1</v>
      </c>
      <c r="K133" s="21">
        <f>Source!P341</f>
        <v>57.2</v>
      </c>
      <c r="L133" s="21"/>
    </row>
    <row r="134" spans="1:22" ht="14.25" x14ac:dyDescent="0.2">
      <c r="A134" s="18"/>
      <c r="B134" s="18"/>
      <c r="C134" s="18"/>
      <c r="D134" s="18" t="s">
        <v>537</v>
      </c>
      <c r="E134" s="19" t="s">
        <v>538</v>
      </c>
      <c r="F134" s="9">
        <f>Source!AT341</f>
        <v>70</v>
      </c>
      <c r="G134" s="21"/>
      <c r="H134" s="20"/>
      <c r="I134" s="9"/>
      <c r="J134" s="9"/>
      <c r="K134" s="21">
        <f>SUM(R129:R133)</f>
        <v>1573.39</v>
      </c>
      <c r="L134" s="21"/>
    </row>
    <row r="135" spans="1:22" ht="14.25" x14ac:dyDescent="0.2">
      <c r="A135" s="18"/>
      <c r="B135" s="18"/>
      <c r="C135" s="18"/>
      <c r="D135" s="18" t="s">
        <v>539</v>
      </c>
      <c r="E135" s="19" t="s">
        <v>538</v>
      </c>
      <c r="F135" s="9">
        <f>Source!AU341</f>
        <v>10</v>
      </c>
      <c r="G135" s="21"/>
      <c r="H135" s="20"/>
      <c r="I135" s="9"/>
      <c r="J135" s="9"/>
      <c r="K135" s="21">
        <f>SUM(T129:T134)</f>
        <v>224.77</v>
      </c>
      <c r="L135" s="21"/>
    </row>
    <row r="136" spans="1:22" ht="14.25" x14ac:dyDescent="0.2">
      <c r="A136" s="18"/>
      <c r="B136" s="18"/>
      <c r="C136" s="18"/>
      <c r="D136" s="18" t="s">
        <v>540</v>
      </c>
      <c r="E136" s="19" t="s">
        <v>541</v>
      </c>
      <c r="F136" s="9">
        <f>Source!AQ341</f>
        <v>0.14000000000000001</v>
      </c>
      <c r="G136" s="21"/>
      <c r="H136" s="20" t="str">
        <f>Source!DI341</f>
        <v/>
      </c>
      <c r="I136" s="9">
        <f>Source!AV341</f>
        <v>1</v>
      </c>
      <c r="J136" s="9"/>
      <c r="K136" s="21"/>
      <c r="L136" s="21">
        <f>Source!U341</f>
        <v>3.6400000000000006</v>
      </c>
    </row>
    <row r="137" spans="1:22" ht="15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44">
        <f>K131+K132+K133+K134+K135</f>
        <v>4109.04</v>
      </c>
      <c r="K137" s="44"/>
      <c r="L137" s="25">
        <f>IF(Source!I341&lt;&gt;0, ROUND(J137/Source!I341, 2), 0)</f>
        <v>158.04</v>
      </c>
      <c r="P137" s="23">
        <f>J137</f>
        <v>4109.04</v>
      </c>
    </row>
    <row r="139" spans="1:22" ht="15" x14ac:dyDescent="0.25">
      <c r="A139" s="43" t="str">
        <f>CONCATENATE("Итого по подразделу: ",IF(Source!G344&lt;&gt;"Новый подраздел", Source!G344, ""))</f>
        <v>Итого по подразделу: Отопление</v>
      </c>
      <c r="B139" s="43"/>
      <c r="C139" s="43"/>
      <c r="D139" s="43"/>
      <c r="E139" s="43"/>
      <c r="F139" s="43"/>
      <c r="G139" s="43"/>
      <c r="H139" s="43"/>
      <c r="I139" s="43"/>
      <c r="J139" s="41">
        <f>SUM(P128:P138)</f>
        <v>4109.04</v>
      </c>
      <c r="K139" s="42"/>
      <c r="L139" s="27"/>
    </row>
    <row r="142" spans="1:22" ht="15" x14ac:dyDescent="0.25">
      <c r="A142" s="43" t="str">
        <f>CONCATENATE("Итого по разделу: ",IF(Source!G374&lt;&gt;"Новый раздел", Source!G374, ""))</f>
        <v>Итого по разделу: Внутренние сети отопления</v>
      </c>
      <c r="B142" s="43"/>
      <c r="C142" s="43"/>
      <c r="D142" s="43"/>
      <c r="E142" s="43"/>
      <c r="F142" s="43"/>
      <c r="G142" s="43"/>
      <c r="H142" s="43"/>
      <c r="I142" s="43"/>
      <c r="J142" s="41">
        <f>SUM(P126:P141)</f>
        <v>4109.04</v>
      </c>
      <c r="K142" s="42"/>
      <c r="L142" s="27"/>
    </row>
    <row r="145" spans="1:22" ht="16.5" x14ac:dyDescent="0.25">
      <c r="A145" s="45" t="str">
        <f>CONCATENATE("Раздел: ",IF(Source!G404&lt;&gt;"Новый раздел", Source!G404, ""))</f>
        <v>Раздел: Вентиляция и кондиционирование</v>
      </c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</row>
    <row r="147" spans="1:22" ht="16.5" x14ac:dyDescent="0.25">
      <c r="A147" s="45" t="str">
        <f>CONCATENATE("Подраздел: ",IF(Source!G408&lt;&gt;"Новый подраздел", Source!G408, ""))</f>
        <v>Подраздел: Вентиляция</v>
      </c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22" ht="42.75" x14ac:dyDescent="0.2">
      <c r="A148" s="18">
        <v>10</v>
      </c>
      <c r="B148" s="18">
        <v>10</v>
      </c>
      <c r="C148" s="18" t="str">
        <f>Source!F415</f>
        <v>1.18-2403-20-3/1</v>
      </c>
      <c r="D148" s="18" t="str">
        <f>Source!G415</f>
        <v>Техническое обслуживание вытяжных установок производительностью до 5000 м3/ч - ежеквартальное</v>
      </c>
      <c r="E148" s="19" t="str">
        <f>Source!H415</f>
        <v>установка</v>
      </c>
      <c r="F148" s="9">
        <f>Source!I415</f>
        <v>5</v>
      </c>
      <c r="G148" s="21"/>
      <c r="H148" s="20"/>
      <c r="I148" s="9"/>
      <c r="J148" s="9"/>
      <c r="K148" s="21"/>
      <c r="L148" s="21"/>
      <c r="Q148">
        <f>ROUND((Source!BZ415/100)*ROUND((Source!AF415*Source!AV415)*Source!I415, 2), 2)</f>
        <v>11055.17</v>
      </c>
      <c r="R148">
        <f>Source!X415</f>
        <v>11055.17</v>
      </c>
      <c r="S148">
        <f>ROUND((Source!CA415/100)*ROUND((Source!AF415*Source!AV415)*Source!I415, 2), 2)</f>
        <v>1579.31</v>
      </c>
      <c r="T148">
        <f>Source!Y415</f>
        <v>1579.31</v>
      </c>
      <c r="U148">
        <f>ROUND((175/100)*ROUND((Source!AE415*Source!AV415)*Source!I415, 2), 2)</f>
        <v>0</v>
      </c>
      <c r="V148">
        <f>ROUND((108/100)*ROUND(Source!CS415*Source!I415, 2), 2)</f>
        <v>0</v>
      </c>
    </row>
    <row r="149" spans="1:22" ht="14.25" x14ac:dyDescent="0.2">
      <c r="A149" s="18"/>
      <c r="B149" s="18"/>
      <c r="C149" s="18"/>
      <c r="D149" s="18" t="s">
        <v>536</v>
      </c>
      <c r="E149" s="19"/>
      <c r="F149" s="9"/>
      <c r="G149" s="21">
        <f>Source!AO415</f>
        <v>1579.31</v>
      </c>
      <c r="H149" s="20" t="str">
        <f>Source!DG415</f>
        <v>)*2</v>
      </c>
      <c r="I149" s="9">
        <f>Source!AV415</f>
        <v>1</v>
      </c>
      <c r="J149" s="9">
        <f>IF(Source!BA415&lt;&gt; 0, Source!BA415, 1)</f>
        <v>1</v>
      </c>
      <c r="K149" s="21">
        <f>Source!S415</f>
        <v>15793.1</v>
      </c>
      <c r="L149" s="21"/>
    </row>
    <row r="150" spans="1:22" ht="14.25" x14ac:dyDescent="0.2">
      <c r="A150" s="18"/>
      <c r="B150" s="18"/>
      <c r="C150" s="18"/>
      <c r="D150" s="18" t="s">
        <v>544</v>
      </c>
      <c r="E150" s="19"/>
      <c r="F150" s="9"/>
      <c r="G150" s="21">
        <f>Source!AL415</f>
        <v>0.03</v>
      </c>
      <c r="H150" s="20" t="str">
        <f>Source!DD415</f>
        <v>)*2</v>
      </c>
      <c r="I150" s="9">
        <f>Source!AW415</f>
        <v>1</v>
      </c>
      <c r="J150" s="9">
        <f>IF(Source!BC415&lt;&gt; 0, Source!BC415, 1)</f>
        <v>1</v>
      </c>
      <c r="K150" s="21">
        <f>Source!P415</f>
        <v>0.3</v>
      </c>
      <c r="L150" s="21"/>
    </row>
    <row r="151" spans="1:22" ht="14.25" x14ac:dyDescent="0.2">
      <c r="A151" s="18"/>
      <c r="B151" s="18"/>
      <c r="C151" s="18"/>
      <c r="D151" s="18" t="s">
        <v>537</v>
      </c>
      <c r="E151" s="19" t="s">
        <v>538</v>
      </c>
      <c r="F151" s="9">
        <f>Source!AT415</f>
        <v>70</v>
      </c>
      <c r="G151" s="21"/>
      <c r="H151" s="20"/>
      <c r="I151" s="9"/>
      <c r="J151" s="9"/>
      <c r="K151" s="21">
        <f>SUM(R148:R150)</f>
        <v>11055.17</v>
      </c>
      <c r="L151" s="21"/>
    </row>
    <row r="152" spans="1:22" ht="14.25" x14ac:dyDescent="0.2">
      <c r="A152" s="18"/>
      <c r="B152" s="18"/>
      <c r="C152" s="18"/>
      <c r="D152" s="18" t="s">
        <v>539</v>
      </c>
      <c r="E152" s="19" t="s">
        <v>538</v>
      </c>
      <c r="F152" s="9">
        <f>Source!AU415</f>
        <v>10</v>
      </c>
      <c r="G152" s="21"/>
      <c r="H152" s="20"/>
      <c r="I152" s="9"/>
      <c r="J152" s="9"/>
      <c r="K152" s="21">
        <f>SUM(T148:T151)</f>
        <v>1579.31</v>
      </c>
      <c r="L152" s="21"/>
    </row>
    <row r="153" spans="1:22" ht="14.25" x14ac:dyDescent="0.2">
      <c r="A153" s="18"/>
      <c r="B153" s="18"/>
      <c r="C153" s="18"/>
      <c r="D153" s="18" t="s">
        <v>540</v>
      </c>
      <c r="E153" s="19" t="s">
        <v>541</v>
      </c>
      <c r="F153" s="9">
        <f>Source!AQ415</f>
        <v>2.38</v>
      </c>
      <c r="G153" s="21"/>
      <c r="H153" s="20" t="str">
        <f>Source!DI415</f>
        <v>)*2</v>
      </c>
      <c r="I153" s="9">
        <f>Source!AV415</f>
        <v>1</v>
      </c>
      <c r="J153" s="9"/>
      <c r="K153" s="21"/>
      <c r="L153" s="21">
        <f>Source!U415</f>
        <v>23.799999999999997</v>
      </c>
    </row>
    <row r="154" spans="1:22" ht="15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44">
        <f>K149+K150+K151+K152</f>
        <v>28427.88</v>
      </c>
      <c r="K154" s="44"/>
      <c r="L154" s="25">
        <f>IF(Source!I415&lt;&gt;0, ROUND(J154/Source!I415, 2), 0)</f>
        <v>5685.58</v>
      </c>
      <c r="P154" s="23">
        <f>J154</f>
        <v>28427.88</v>
      </c>
    </row>
    <row r="155" spans="1:22" ht="42.75" x14ac:dyDescent="0.2">
      <c r="A155" s="18">
        <v>11</v>
      </c>
      <c r="B155" s="18">
        <v>11</v>
      </c>
      <c r="C155" s="18" t="str">
        <f>Source!F418</f>
        <v>1.18-2403-20-3/1</v>
      </c>
      <c r="D155" s="18" t="str">
        <f>Source!G418</f>
        <v>Техническое обслуживание вытяжных установок производительностью до 5000 м3/ч - ежеквартальное</v>
      </c>
      <c r="E155" s="19" t="str">
        <f>Source!H418</f>
        <v>установка</v>
      </c>
      <c r="F155" s="9">
        <f>Source!I418</f>
        <v>2</v>
      </c>
      <c r="G155" s="21"/>
      <c r="H155" s="20"/>
      <c r="I155" s="9"/>
      <c r="J155" s="9"/>
      <c r="K155" s="21"/>
      <c r="L155" s="21"/>
      <c r="Q155">
        <f>ROUND((Source!BZ418/100)*ROUND((Source!AF418*Source!AV418)*Source!I418, 2), 2)</f>
        <v>4422.07</v>
      </c>
      <c r="R155">
        <f>Source!X418</f>
        <v>4422.07</v>
      </c>
      <c r="S155">
        <f>ROUND((Source!CA418/100)*ROUND((Source!AF418*Source!AV418)*Source!I418, 2), 2)</f>
        <v>631.72</v>
      </c>
      <c r="T155">
        <f>Source!Y418</f>
        <v>631.72</v>
      </c>
      <c r="U155">
        <f>ROUND((175/100)*ROUND((Source!AE418*Source!AV418)*Source!I418, 2), 2)</f>
        <v>0</v>
      </c>
      <c r="V155">
        <f>ROUND((108/100)*ROUND(Source!CS418*Source!I418, 2), 2)</f>
        <v>0</v>
      </c>
    </row>
    <row r="156" spans="1:22" ht="14.25" x14ac:dyDescent="0.2">
      <c r="A156" s="18"/>
      <c r="B156" s="18"/>
      <c r="C156" s="18"/>
      <c r="D156" s="18" t="s">
        <v>536</v>
      </c>
      <c r="E156" s="19"/>
      <c r="F156" s="9"/>
      <c r="G156" s="21">
        <f>Source!AO418</f>
        <v>1579.31</v>
      </c>
      <c r="H156" s="20" t="str">
        <f>Source!DG418</f>
        <v>)*2</v>
      </c>
      <c r="I156" s="9">
        <f>Source!AV418</f>
        <v>1</v>
      </c>
      <c r="J156" s="9">
        <f>IF(Source!BA418&lt;&gt; 0, Source!BA418, 1)</f>
        <v>1</v>
      </c>
      <c r="K156" s="21">
        <f>Source!S418</f>
        <v>6317.24</v>
      </c>
      <c r="L156" s="21"/>
    </row>
    <row r="157" spans="1:22" ht="14.25" x14ac:dyDescent="0.2">
      <c r="A157" s="18"/>
      <c r="B157" s="18"/>
      <c r="C157" s="18"/>
      <c r="D157" s="18" t="s">
        <v>544</v>
      </c>
      <c r="E157" s="19"/>
      <c r="F157" s="9"/>
      <c r="G157" s="21">
        <f>Source!AL418</f>
        <v>0.03</v>
      </c>
      <c r="H157" s="20" t="str">
        <f>Source!DD418</f>
        <v>)*2</v>
      </c>
      <c r="I157" s="9">
        <f>Source!AW418</f>
        <v>1</v>
      </c>
      <c r="J157" s="9">
        <f>IF(Source!BC418&lt;&gt; 0, Source!BC418, 1)</f>
        <v>1</v>
      </c>
      <c r="K157" s="21">
        <f>Source!P418</f>
        <v>0.12</v>
      </c>
      <c r="L157" s="21"/>
    </row>
    <row r="158" spans="1:22" ht="14.25" x14ac:dyDescent="0.2">
      <c r="A158" s="18"/>
      <c r="B158" s="18"/>
      <c r="C158" s="18"/>
      <c r="D158" s="18" t="s">
        <v>537</v>
      </c>
      <c r="E158" s="19" t="s">
        <v>538</v>
      </c>
      <c r="F158" s="9">
        <f>Source!AT418</f>
        <v>70</v>
      </c>
      <c r="G158" s="21"/>
      <c r="H158" s="20"/>
      <c r="I158" s="9"/>
      <c r="J158" s="9"/>
      <c r="K158" s="21">
        <f>SUM(R155:R157)</f>
        <v>4422.07</v>
      </c>
      <c r="L158" s="21"/>
    </row>
    <row r="159" spans="1:22" ht="14.25" x14ac:dyDescent="0.2">
      <c r="A159" s="18"/>
      <c r="B159" s="18"/>
      <c r="C159" s="18"/>
      <c r="D159" s="18" t="s">
        <v>539</v>
      </c>
      <c r="E159" s="19" t="s">
        <v>538</v>
      </c>
      <c r="F159" s="9">
        <f>Source!AU418</f>
        <v>10</v>
      </c>
      <c r="G159" s="21"/>
      <c r="H159" s="20"/>
      <c r="I159" s="9"/>
      <c r="J159" s="9"/>
      <c r="K159" s="21">
        <f>SUM(T155:T158)</f>
        <v>631.72</v>
      </c>
      <c r="L159" s="21"/>
    </row>
    <row r="160" spans="1:22" ht="14.25" x14ac:dyDescent="0.2">
      <c r="A160" s="18"/>
      <c r="B160" s="18"/>
      <c r="C160" s="18"/>
      <c r="D160" s="18" t="s">
        <v>540</v>
      </c>
      <c r="E160" s="19" t="s">
        <v>541</v>
      </c>
      <c r="F160" s="9">
        <f>Source!AQ418</f>
        <v>2.38</v>
      </c>
      <c r="G160" s="21"/>
      <c r="H160" s="20" t="str">
        <f>Source!DI418</f>
        <v>)*2</v>
      </c>
      <c r="I160" s="9">
        <f>Source!AV418</f>
        <v>1</v>
      </c>
      <c r="J160" s="9"/>
      <c r="K160" s="21"/>
      <c r="L160" s="21">
        <f>Source!U418</f>
        <v>9.52</v>
      </c>
    </row>
    <row r="161" spans="1:22" ht="15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44">
        <f>K156+K157+K158+K159</f>
        <v>11371.15</v>
      </c>
      <c r="K161" s="44"/>
      <c r="L161" s="25">
        <f>IF(Source!I418&lt;&gt;0, ROUND(J161/Source!I418, 2), 0)</f>
        <v>5685.58</v>
      </c>
      <c r="P161" s="23">
        <f>J161</f>
        <v>11371.15</v>
      </c>
    </row>
    <row r="162" spans="1:22" ht="57" x14ac:dyDescent="0.2">
      <c r="A162" s="18">
        <v>12</v>
      </c>
      <c r="B162" s="18">
        <v>12</v>
      </c>
      <c r="C162" s="18" t="str">
        <f>Source!F421</f>
        <v>1.23-2103-41-1/1</v>
      </c>
      <c r="D162" s="18" t="str">
        <f>Source!G421</f>
        <v>Техническое обслуживание регулирующего клапана / Заслонки с ручным управлением круглого сечения ( DN315)</v>
      </c>
      <c r="E162" s="19" t="str">
        <f>Source!H421</f>
        <v>шт.</v>
      </c>
      <c r="F162" s="9">
        <f>Source!I421</f>
        <v>16</v>
      </c>
      <c r="G162" s="21"/>
      <c r="H162" s="20"/>
      <c r="I162" s="9"/>
      <c r="J162" s="9"/>
      <c r="K162" s="21"/>
      <c r="L162" s="21"/>
      <c r="Q162">
        <f>ROUND((Source!BZ421/100)*ROUND((Source!AF421*Source!AV421)*Source!I421, 2), 2)</f>
        <v>2329.6</v>
      </c>
      <c r="R162">
        <f>Source!X421</f>
        <v>2329.6</v>
      </c>
      <c r="S162">
        <f>ROUND((Source!CA421/100)*ROUND((Source!AF421*Source!AV421)*Source!I421, 2), 2)</f>
        <v>332.8</v>
      </c>
      <c r="T162">
        <f>Source!Y421</f>
        <v>332.8</v>
      </c>
      <c r="U162">
        <f>ROUND((175/100)*ROUND((Source!AE421*Source!AV421)*Source!I421, 2), 2)</f>
        <v>1387.96</v>
      </c>
      <c r="V162">
        <f>ROUND((108/100)*ROUND(Source!CS421*Source!I421, 2), 2)</f>
        <v>856.57</v>
      </c>
    </row>
    <row r="163" spans="1:22" ht="14.25" x14ac:dyDescent="0.2">
      <c r="A163" s="18"/>
      <c r="B163" s="18"/>
      <c r="C163" s="18"/>
      <c r="D163" s="18" t="s">
        <v>536</v>
      </c>
      <c r="E163" s="19"/>
      <c r="F163" s="9"/>
      <c r="G163" s="21">
        <f>Source!AO421</f>
        <v>208</v>
      </c>
      <c r="H163" s="20" t="str">
        <f>Source!DG421</f>
        <v/>
      </c>
      <c r="I163" s="9">
        <f>Source!AV421</f>
        <v>1</v>
      </c>
      <c r="J163" s="9">
        <f>IF(Source!BA421&lt;&gt; 0, Source!BA421, 1)</f>
        <v>1</v>
      </c>
      <c r="K163" s="21">
        <f>Source!S421</f>
        <v>3328</v>
      </c>
      <c r="L163" s="21"/>
    </row>
    <row r="164" spans="1:22" ht="14.25" x14ac:dyDescent="0.2">
      <c r="A164" s="18"/>
      <c r="B164" s="18"/>
      <c r="C164" s="18"/>
      <c r="D164" s="18" t="s">
        <v>542</v>
      </c>
      <c r="E164" s="19"/>
      <c r="F164" s="9"/>
      <c r="G164" s="21">
        <f>Source!AM421</f>
        <v>78.180000000000007</v>
      </c>
      <c r="H164" s="20" t="str">
        <f>Source!DE421</f>
        <v/>
      </c>
      <c r="I164" s="9">
        <f>Source!AV421</f>
        <v>1</v>
      </c>
      <c r="J164" s="9">
        <f>IF(Source!BB421&lt;&gt; 0, Source!BB421, 1)</f>
        <v>1</v>
      </c>
      <c r="K164" s="21">
        <f>Source!Q421</f>
        <v>1250.8800000000001</v>
      </c>
      <c r="L164" s="21"/>
    </row>
    <row r="165" spans="1:22" ht="14.25" x14ac:dyDescent="0.2">
      <c r="A165" s="18"/>
      <c r="B165" s="18"/>
      <c r="C165" s="18"/>
      <c r="D165" s="18" t="s">
        <v>543</v>
      </c>
      <c r="E165" s="19"/>
      <c r="F165" s="9"/>
      <c r="G165" s="21">
        <f>Source!AN421</f>
        <v>49.57</v>
      </c>
      <c r="H165" s="20" t="str">
        <f>Source!DF421</f>
        <v/>
      </c>
      <c r="I165" s="9">
        <f>Source!AV421</f>
        <v>1</v>
      </c>
      <c r="J165" s="9">
        <f>IF(Source!BS421&lt;&gt; 0, Source!BS421, 1)</f>
        <v>1</v>
      </c>
      <c r="K165" s="26">
        <f>Source!R421</f>
        <v>793.12</v>
      </c>
      <c r="L165" s="21"/>
    </row>
    <row r="166" spans="1:22" ht="14.25" x14ac:dyDescent="0.2">
      <c r="A166" s="18"/>
      <c r="B166" s="18"/>
      <c r="C166" s="18"/>
      <c r="D166" s="18" t="s">
        <v>537</v>
      </c>
      <c r="E166" s="19" t="s">
        <v>538</v>
      </c>
      <c r="F166" s="9">
        <f>Source!AT421</f>
        <v>70</v>
      </c>
      <c r="G166" s="21"/>
      <c r="H166" s="20"/>
      <c r="I166" s="9"/>
      <c r="J166" s="9"/>
      <c r="K166" s="21">
        <f>SUM(R162:R165)</f>
        <v>2329.6</v>
      </c>
      <c r="L166" s="21"/>
    </row>
    <row r="167" spans="1:22" ht="14.25" x14ac:dyDescent="0.2">
      <c r="A167" s="18"/>
      <c r="B167" s="18"/>
      <c r="C167" s="18"/>
      <c r="D167" s="18" t="s">
        <v>539</v>
      </c>
      <c r="E167" s="19" t="s">
        <v>538</v>
      </c>
      <c r="F167" s="9">
        <f>Source!AU421</f>
        <v>10</v>
      </c>
      <c r="G167" s="21"/>
      <c r="H167" s="20"/>
      <c r="I167" s="9"/>
      <c r="J167" s="9"/>
      <c r="K167" s="21">
        <f>SUM(T162:T166)</f>
        <v>332.8</v>
      </c>
      <c r="L167" s="21"/>
    </row>
    <row r="168" spans="1:22" ht="14.25" x14ac:dyDescent="0.2">
      <c r="A168" s="18"/>
      <c r="B168" s="18"/>
      <c r="C168" s="18"/>
      <c r="D168" s="18" t="s">
        <v>545</v>
      </c>
      <c r="E168" s="19" t="s">
        <v>538</v>
      </c>
      <c r="F168" s="9">
        <f>108</f>
        <v>108</v>
      </c>
      <c r="G168" s="21"/>
      <c r="H168" s="20"/>
      <c r="I168" s="9"/>
      <c r="J168" s="9"/>
      <c r="K168" s="21">
        <f>SUM(V162:V167)</f>
        <v>856.57</v>
      </c>
      <c r="L168" s="21"/>
    </row>
    <row r="169" spans="1:22" ht="14.25" x14ac:dyDescent="0.2">
      <c r="A169" s="18"/>
      <c r="B169" s="18"/>
      <c r="C169" s="18"/>
      <c r="D169" s="18" t="s">
        <v>540</v>
      </c>
      <c r="E169" s="19" t="s">
        <v>541</v>
      </c>
      <c r="F169" s="9">
        <f>Source!AQ421</f>
        <v>0.37</v>
      </c>
      <c r="G169" s="21"/>
      <c r="H169" s="20" t="str">
        <f>Source!DI421</f>
        <v/>
      </c>
      <c r="I169" s="9">
        <f>Source!AV421</f>
        <v>1</v>
      </c>
      <c r="J169" s="9"/>
      <c r="K169" s="21"/>
      <c r="L169" s="21">
        <f>Source!U421</f>
        <v>5.92</v>
      </c>
    </row>
    <row r="170" spans="1:22" ht="15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44">
        <f>K163+K164+K166+K167+K168</f>
        <v>8097.8499999999995</v>
      </c>
      <c r="K170" s="44"/>
      <c r="L170" s="25">
        <f>IF(Source!I421&lt;&gt;0, ROUND(J170/Source!I421, 2), 0)</f>
        <v>506.12</v>
      </c>
      <c r="P170" s="23">
        <f>J170</f>
        <v>8097.8499999999995</v>
      </c>
    </row>
    <row r="171" spans="1:22" ht="57" x14ac:dyDescent="0.2">
      <c r="A171" s="18">
        <v>13</v>
      </c>
      <c r="B171" s="18">
        <v>13</v>
      </c>
      <c r="C171" s="18" t="str">
        <f>Source!F423</f>
        <v>1.18-2203-3-6/1</v>
      </c>
      <c r="D171" s="18" t="str">
        <f>Source!G423</f>
        <v>Техническое обслуживание клапанов воздушных регулирующих с ручным приводом диаметром/периметром до 560/1600 мм</v>
      </c>
      <c r="E171" s="19" t="str">
        <f>Source!H423</f>
        <v>шт.</v>
      </c>
      <c r="F171" s="9">
        <f>Source!I423</f>
        <v>2</v>
      </c>
      <c r="G171" s="21"/>
      <c r="H171" s="20"/>
      <c r="I171" s="9"/>
      <c r="J171" s="9"/>
      <c r="K171" s="21"/>
      <c r="L171" s="21"/>
      <c r="Q171">
        <f>ROUND((Source!BZ423/100)*ROUND((Source!AF423*Source!AV423)*Source!I423, 2), 2)</f>
        <v>207.48</v>
      </c>
      <c r="R171">
        <f>Source!X423</f>
        <v>207.48</v>
      </c>
      <c r="S171">
        <f>ROUND((Source!CA423/100)*ROUND((Source!AF423*Source!AV423)*Source!I423, 2), 2)</f>
        <v>29.64</v>
      </c>
      <c r="T171">
        <f>Source!Y423</f>
        <v>29.64</v>
      </c>
      <c r="U171">
        <f>ROUND((175/100)*ROUND((Source!AE423*Source!AV423)*Source!I423, 2), 2)</f>
        <v>86.77</v>
      </c>
      <c r="V171">
        <f>ROUND((108/100)*ROUND(Source!CS423*Source!I423, 2), 2)</f>
        <v>53.55</v>
      </c>
    </row>
    <row r="172" spans="1:22" ht="14.25" x14ac:dyDescent="0.2">
      <c r="A172" s="18"/>
      <c r="B172" s="18"/>
      <c r="C172" s="18"/>
      <c r="D172" s="18" t="s">
        <v>536</v>
      </c>
      <c r="E172" s="19"/>
      <c r="F172" s="9"/>
      <c r="G172" s="21">
        <f>Source!AO423</f>
        <v>148.19999999999999</v>
      </c>
      <c r="H172" s="20" t="str">
        <f>Source!DG423</f>
        <v/>
      </c>
      <c r="I172" s="9">
        <f>Source!AV423</f>
        <v>1</v>
      </c>
      <c r="J172" s="9">
        <f>IF(Source!BA423&lt;&gt; 0, Source!BA423, 1)</f>
        <v>1</v>
      </c>
      <c r="K172" s="21">
        <f>Source!S423</f>
        <v>296.39999999999998</v>
      </c>
      <c r="L172" s="21"/>
    </row>
    <row r="173" spans="1:22" ht="14.25" x14ac:dyDescent="0.2">
      <c r="A173" s="18"/>
      <c r="B173" s="18"/>
      <c r="C173" s="18"/>
      <c r="D173" s="18" t="s">
        <v>542</v>
      </c>
      <c r="E173" s="19"/>
      <c r="F173" s="9"/>
      <c r="G173" s="21">
        <f>Source!AM423</f>
        <v>39.090000000000003</v>
      </c>
      <c r="H173" s="20" t="str">
        <f>Source!DE423</f>
        <v/>
      </c>
      <c r="I173" s="9">
        <f>Source!AV423</f>
        <v>1</v>
      </c>
      <c r="J173" s="9">
        <f>IF(Source!BB423&lt;&gt; 0, Source!BB423, 1)</f>
        <v>1</v>
      </c>
      <c r="K173" s="21">
        <f>Source!Q423</f>
        <v>78.180000000000007</v>
      </c>
      <c r="L173" s="21"/>
    </row>
    <row r="174" spans="1:22" ht="14.25" x14ac:dyDescent="0.2">
      <c r="A174" s="18"/>
      <c r="B174" s="18"/>
      <c r="C174" s="18"/>
      <c r="D174" s="18" t="s">
        <v>543</v>
      </c>
      <c r="E174" s="19"/>
      <c r="F174" s="9"/>
      <c r="G174" s="21">
        <f>Source!AN423</f>
        <v>24.79</v>
      </c>
      <c r="H174" s="20" t="str">
        <f>Source!DF423</f>
        <v/>
      </c>
      <c r="I174" s="9">
        <f>Source!AV423</f>
        <v>1</v>
      </c>
      <c r="J174" s="9">
        <f>IF(Source!BS423&lt;&gt; 0, Source!BS423, 1)</f>
        <v>1</v>
      </c>
      <c r="K174" s="26">
        <f>Source!R423</f>
        <v>49.58</v>
      </c>
      <c r="L174" s="21"/>
    </row>
    <row r="175" spans="1:22" ht="14.25" x14ac:dyDescent="0.2">
      <c r="A175" s="18"/>
      <c r="B175" s="18"/>
      <c r="C175" s="18"/>
      <c r="D175" s="18" t="s">
        <v>544</v>
      </c>
      <c r="E175" s="19"/>
      <c r="F175" s="9"/>
      <c r="G175" s="21">
        <f>Source!AL423</f>
        <v>0.47</v>
      </c>
      <c r="H175" s="20" t="str">
        <f>Source!DD423</f>
        <v/>
      </c>
      <c r="I175" s="9">
        <f>Source!AW423</f>
        <v>1</v>
      </c>
      <c r="J175" s="9">
        <f>IF(Source!BC423&lt;&gt; 0, Source!BC423, 1)</f>
        <v>1</v>
      </c>
      <c r="K175" s="21">
        <f>Source!P423</f>
        <v>0.94</v>
      </c>
      <c r="L175" s="21"/>
    </row>
    <row r="176" spans="1:22" ht="14.25" x14ac:dyDescent="0.2">
      <c r="A176" s="18"/>
      <c r="B176" s="18"/>
      <c r="C176" s="18"/>
      <c r="D176" s="18" t="s">
        <v>537</v>
      </c>
      <c r="E176" s="19" t="s">
        <v>538</v>
      </c>
      <c r="F176" s="9">
        <f>Source!AT423</f>
        <v>70</v>
      </c>
      <c r="G176" s="21"/>
      <c r="H176" s="20"/>
      <c r="I176" s="9"/>
      <c r="J176" s="9"/>
      <c r="K176" s="21">
        <f>SUM(R171:R175)</f>
        <v>207.48</v>
      </c>
      <c r="L176" s="21"/>
    </row>
    <row r="177" spans="1:22" ht="14.25" x14ac:dyDescent="0.2">
      <c r="A177" s="18"/>
      <c r="B177" s="18"/>
      <c r="C177" s="18"/>
      <c r="D177" s="18" t="s">
        <v>539</v>
      </c>
      <c r="E177" s="19" t="s">
        <v>538</v>
      </c>
      <c r="F177" s="9">
        <f>Source!AU423</f>
        <v>10</v>
      </c>
      <c r="G177" s="21"/>
      <c r="H177" s="20"/>
      <c r="I177" s="9"/>
      <c r="J177" s="9"/>
      <c r="K177" s="21">
        <f>SUM(T171:T176)</f>
        <v>29.64</v>
      </c>
      <c r="L177" s="21"/>
    </row>
    <row r="178" spans="1:22" ht="14.25" x14ac:dyDescent="0.2">
      <c r="A178" s="18"/>
      <c r="B178" s="18"/>
      <c r="C178" s="18"/>
      <c r="D178" s="18" t="s">
        <v>545</v>
      </c>
      <c r="E178" s="19" t="s">
        <v>538</v>
      </c>
      <c r="F178" s="9">
        <f>108</f>
        <v>108</v>
      </c>
      <c r="G178" s="21"/>
      <c r="H178" s="20"/>
      <c r="I178" s="9"/>
      <c r="J178" s="9"/>
      <c r="K178" s="21">
        <f>SUM(V171:V177)</f>
        <v>53.55</v>
      </c>
      <c r="L178" s="21"/>
    </row>
    <row r="179" spans="1:22" ht="14.25" x14ac:dyDescent="0.2">
      <c r="A179" s="18"/>
      <c r="B179" s="18"/>
      <c r="C179" s="18"/>
      <c r="D179" s="18" t="s">
        <v>540</v>
      </c>
      <c r="E179" s="19" t="s">
        <v>541</v>
      </c>
      <c r="F179" s="9">
        <f>Source!AQ423</f>
        <v>0.24</v>
      </c>
      <c r="G179" s="21"/>
      <c r="H179" s="20" t="str">
        <f>Source!DI423</f>
        <v/>
      </c>
      <c r="I179" s="9">
        <f>Source!AV423</f>
        <v>1</v>
      </c>
      <c r="J179" s="9"/>
      <c r="K179" s="21"/>
      <c r="L179" s="21">
        <f>Source!U423</f>
        <v>0.48</v>
      </c>
    </row>
    <row r="180" spans="1:22" ht="15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44">
        <f>K172+K173+K175+K176+K177+K178</f>
        <v>666.18999999999994</v>
      </c>
      <c r="K180" s="44"/>
      <c r="L180" s="25">
        <f>IF(Source!I423&lt;&gt;0, ROUND(J180/Source!I423, 2), 0)</f>
        <v>333.1</v>
      </c>
      <c r="P180" s="23">
        <f>J180</f>
        <v>666.18999999999994</v>
      </c>
    </row>
    <row r="182" spans="1:22" ht="15" x14ac:dyDescent="0.25">
      <c r="A182" s="43" t="str">
        <f>CONCATENATE("Итого по подразделу: ",IF(Source!G426&lt;&gt;"Новый подраздел", Source!G426, ""))</f>
        <v>Итого по подразделу: Вентиляция</v>
      </c>
      <c r="B182" s="43"/>
      <c r="C182" s="43"/>
      <c r="D182" s="43"/>
      <c r="E182" s="43"/>
      <c r="F182" s="43"/>
      <c r="G182" s="43"/>
      <c r="H182" s="43"/>
      <c r="I182" s="43"/>
      <c r="J182" s="41">
        <f>SUM(P147:P181)</f>
        <v>48563.07</v>
      </c>
      <c r="K182" s="42"/>
      <c r="L182" s="27"/>
    </row>
    <row r="185" spans="1:22" ht="15" x14ac:dyDescent="0.25">
      <c r="A185" s="43" t="str">
        <f>CONCATENATE("Итого по разделу: ",IF(Source!G456&lt;&gt;"Новый раздел", Source!G456, ""))</f>
        <v>Итого по разделу: Вентиляция и кондиционирование</v>
      </c>
      <c r="B185" s="43"/>
      <c r="C185" s="43"/>
      <c r="D185" s="43"/>
      <c r="E185" s="43"/>
      <c r="F185" s="43"/>
      <c r="G185" s="43"/>
      <c r="H185" s="43"/>
      <c r="I185" s="43"/>
      <c r="J185" s="41">
        <f>SUM(P145:P184)</f>
        <v>48563.07</v>
      </c>
      <c r="K185" s="42"/>
      <c r="L185" s="27"/>
    </row>
    <row r="188" spans="1:22" ht="16.5" x14ac:dyDescent="0.25">
      <c r="A188" s="45" t="str">
        <f>CONCATENATE("Раздел: ",IF(Source!G486&lt;&gt;"Новый раздел", Source!G486, ""))</f>
        <v>Раздел: Электроснабжение и электроосвещение</v>
      </c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</row>
    <row r="190" spans="1:22" ht="16.5" x14ac:dyDescent="0.25">
      <c r="A190" s="45" t="str">
        <f>CONCATENATE("Подраздел: ",IF(Source!G490&lt;&gt;"Новый подраздел", Source!G490, ""))</f>
        <v>Подраздел: Оборудование</v>
      </c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22" ht="85.5" x14ac:dyDescent="0.2">
      <c r="A191" s="18">
        <v>14</v>
      </c>
      <c r="B191" s="18">
        <v>14</v>
      </c>
      <c r="C191" s="18" t="str">
        <f>Source!F498</f>
        <v>1.21-2203-37-1/1</v>
      </c>
      <c r="D191" s="18" t="str">
        <f>Source!G498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191" s="19" t="str">
        <f>Source!H498</f>
        <v>шт.</v>
      </c>
      <c r="F191" s="9">
        <f>Source!I498</f>
        <v>1</v>
      </c>
      <c r="G191" s="21"/>
      <c r="H191" s="20"/>
      <c r="I191" s="9"/>
      <c r="J191" s="9"/>
      <c r="K191" s="21"/>
      <c r="L191" s="21"/>
      <c r="Q191">
        <f>ROUND((Source!BZ498/100)*ROUND((Source!AF498*Source!AV498)*Source!I498, 2), 2)</f>
        <v>236.12</v>
      </c>
      <c r="R191">
        <f>Source!X498</f>
        <v>236.12</v>
      </c>
      <c r="S191">
        <f>ROUND((Source!CA498/100)*ROUND((Source!AF498*Source!AV498)*Source!I498, 2), 2)</f>
        <v>33.729999999999997</v>
      </c>
      <c r="T191">
        <f>Source!Y498</f>
        <v>33.729999999999997</v>
      </c>
      <c r="U191">
        <f>ROUND((175/100)*ROUND((Source!AE498*Source!AV498)*Source!I498, 2), 2)</f>
        <v>0</v>
      </c>
      <c r="V191">
        <f>ROUND((108/100)*ROUND(Source!CS498*Source!I498, 2), 2)</f>
        <v>0</v>
      </c>
    </row>
    <row r="192" spans="1:22" ht="14.25" x14ac:dyDescent="0.2">
      <c r="A192" s="18"/>
      <c r="B192" s="18"/>
      <c r="C192" s="18"/>
      <c r="D192" s="18" t="s">
        <v>536</v>
      </c>
      <c r="E192" s="19"/>
      <c r="F192" s="9"/>
      <c r="G192" s="21">
        <f>Source!AO498</f>
        <v>337.31</v>
      </c>
      <c r="H192" s="20" t="str">
        <f>Source!DG498</f>
        <v/>
      </c>
      <c r="I192" s="9">
        <f>Source!AV498</f>
        <v>1</v>
      </c>
      <c r="J192" s="9">
        <f>IF(Source!BA498&lt;&gt; 0, Source!BA498, 1)</f>
        <v>1</v>
      </c>
      <c r="K192" s="21">
        <f>Source!S498</f>
        <v>337.31</v>
      </c>
      <c r="L192" s="21"/>
    </row>
    <row r="193" spans="1:22" ht="14.25" x14ac:dyDescent="0.2">
      <c r="A193" s="18"/>
      <c r="B193" s="18"/>
      <c r="C193" s="18"/>
      <c r="D193" s="18" t="s">
        <v>544</v>
      </c>
      <c r="E193" s="19"/>
      <c r="F193" s="9"/>
      <c r="G193" s="21">
        <f>Source!AL498</f>
        <v>1.57</v>
      </c>
      <c r="H193" s="20" t="str">
        <f>Source!DD498</f>
        <v/>
      </c>
      <c r="I193" s="9">
        <f>Source!AW498</f>
        <v>1</v>
      </c>
      <c r="J193" s="9">
        <f>IF(Source!BC498&lt;&gt; 0, Source!BC498, 1)</f>
        <v>1</v>
      </c>
      <c r="K193" s="21">
        <f>Source!P498</f>
        <v>1.57</v>
      </c>
      <c r="L193" s="21"/>
    </row>
    <row r="194" spans="1:22" ht="14.25" x14ac:dyDescent="0.2">
      <c r="A194" s="18"/>
      <c r="B194" s="18"/>
      <c r="C194" s="18"/>
      <c r="D194" s="18" t="s">
        <v>537</v>
      </c>
      <c r="E194" s="19" t="s">
        <v>538</v>
      </c>
      <c r="F194" s="9">
        <f>Source!AT498</f>
        <v>70</v>
      </c>
      <c r="G194" s="21"/>
      <c r="H194" s="20"/>
      <c r="I194" s="9"/>
      <c r="J194" s="9"/>
      <c r="K194" s="21">
        <f>SUM(R191:R193)</f>
        <v>236.12</v>
      </c>
      <c r="L194" s="21"/>
    </row>
    <row r="195" spans="1:22" ht="14.25" x14ac:dyDescent="0.2">
      <c r="A195" s="18"/>
      <c r="B195" s="18"/>
      <c r="C195" s="18"/>
      <c r="D195" s="18" t="s">
        <v>539</v>
      </c>
      <c r="E195" s="19" t="s">
        <v>538</v>
      </c>
      <c r="F195" s="9">
        <f>Source!AU498</f>
        <v>10</v>
      </c>
      <c r="G195" s="21"/>
      <c r="H195" s="20"/>
      <c r="I195" s="9"/>
      <c r="J195" s="9"/>
      <c r="K195" s="21">
        <f>SUM(T191:T194)</f>
        <v>33.729999999999997</v>
      </c>
      <c r="L195" s="21"/>
    </row>
    <row r="196" spans="1:22" ht="14.25" x14ac:dyDescent="0.2">
      <c r="A196" s="18"/>
      <c r="B196" s="18"/>
      <c r="C196" s="18"/>
      <c r="D196" s="18" t="s">
        <v>540</v>
      </c>
      <c r="E196" s="19" t="s">
        <v>541</v>
      </c>
      <c r="F196" s="9">
        <f>Source!AQ498</f>
        <v>0.6</v>
      </c>
      <c r="G196" s="21"/>
      <c r="H196" s="20" t="str">
        <f>Source!DI498</f>
        <v/>
      </c>
      <c r="I196" s="9">
        <f>Source!AV498</f>
        <v>1</v>
      </c>
      <c r="J196" s="9"/>
      <c r="K196" s="21"/>
      <c r="L196" s="21">
        <f>Source!U498</f>
        <v>0.6</v>
      </c>
    </row>
    <row r="197" spans="1:22" ht="15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44">
        <f>K192+K193+K194+K195</f>
        <v>608.73</v>
      </c>
      <c r="K197" s="44"/>
      <c r="L197" s="25">
        <f>IF(Source!I498&lt;&gt;0, ROUND(J197/Source!I498, 2), 0)</f>
        <v>608.73</v>
      </c>
      <c r="P197" s="23">
        <f>J197</f>
        <v>608.73</v>
      </c>
    </row>
    <row r="198" spans="1:22" ht="57" x14ac:dyDescent="0.2">
      <c r="A198" s="18">
        <v>15</v>
      </c>
      <c r="B198" s="18">
        <v>15</v>
      </c>
      <c r="C198" s="18" t="str">
        <f>Source!F499</f>
        <v>1.21-2303-3-1/1</v>
      </c>
      <c r="D198" s="18" t="str">
        <f>Source!G499</f>
        <v>Техническое обслуживание выключателей автоматических трехполюсных установочных, номинальный ток до 200 А,</v>
      </c>
      <c r="E198" s="19" t="str">
        <f>Source!H499</f>
        <v>шт.</v>
      </c>
      <c r="F198" s="9">
        <f>Source!I499</f>
        <v>11</v>
      </c>
      <c r="G198" s="21"/>
      <c r="H198" s="20"/>
      <c r="I198" s="9"/>
      <c r="J198" s="9"/>
      <c r="K198" s="21"/>
      <c r="L198" s="21"/>
      <c r="Q198">
        <f>ROUND((Source!BZ499/100)*ROUND((Source!AF499*Source!AV499)*Source!I499, 2), 2)</f>
        <v>7131.97</v>
      </c>
      <c r="R198">
        <f>Source!X499</f>
        <v>7131.97</v>
      </c>
      <c r="S198">
        <f>ROUND((Source!CA499/100)*ROUND((Source!AF499*Source!AV499)*Source!I499, 2), 2)</f>
        <v>1018.85</v>
      </c>
      <c r="T198">
        <f>Source!Y499</f>
        <v>1018.85</v>
      </c>
      <c r="U198">
        <f>ROUND((175/100)*ROUND((Source!AE499*Source!AV499)*Source!I499, 2), 2)</f>
        <v>0</v>
      </c>
      <c r="V198">
        <f>ROUND((108/100)*ROUND(Source!CS499*Source!I499, 2), 2)</f>
        <v>0</v>
      </c>
    </row>
    <row r="199" spans="1:22" x14ac:dyDescent="0.2">
      <c r="D199" s="22" t="str">
        <f>"Объем: "&amp;Source!I499&amp;"=1+"&amp;"3+"&amp;"2+"&amp;"5"</f>
        <v>Объем: 11=1+3+2+5</v>
      </c>
    </row>
    <row r="200" spans="1:22" ht="14.25" x14ac:dyDescent="0.2">
      <c r="A200" s="18"/>
      <c r="B200" s="18"/>
      <c r="C200" s="18"/>
      <c r="D200" s="18" t="s">
        <v>536</v>
      </c>
      <c r="E200" s="19"/>
      <c r="F200" s="9"/>
      <c r="G200" s="21">
        <f>Source!AO499</f>
        <v>926.23</v>
      </c>
      <c r="H200" s="20" t="str">
        <f>Source!DG499</f>
        <v/>
      </c>
      <c r="I200" s="9">
        <f>Source!AV499</f>
        <v>1</v>
      </c>
      <c r="J200" s="9">
        <f>IF(Source!BA499&lt;&gt; 0, Source!BA499, 1)</f>
        <v>1</v>
      </c>
      <c r="K200" s="21">
        <f>Source!S499</f>
        <v>10188.530000000001</v>
      </c>
      <c r="L200" s="21"/>
    </row>
    <row r="201" spans="1:22" ht="14.25" x14ac:dyDescent="0.2">
      <c r="A201" s="18"/>
      <c r="B201" s="18"/>
      <c r="C201" s="18"/>
      <c r="D201" s="18" t="s">
        <v>544</v>
      </c>
      <c r="E201" s="19"/>
      <c r="F201" s="9"/>
      <c r="G201" s="21">
        <f>Source!AL499</f>
        <v>12.39</v>
      </c>
      <c r="H201" s="20" t="str">
        <f>Source!DD499</f>
        <v/>
      </c>
      <c r="I201" s="9">
        <f>Source!AW499</f>
        <v>1</v>
      </c>
      <c r="J201" s="9">
        <f>IF(Source!BC499&lt;&gt; 0, Source!BC499, 1)</f>
        <v>1</v>
      </c>
      <c r="K201" s="21">
        <f>Source!P499</f>
        <v>136.29</v>
      </c>
      <c r="L201" s="21"/>
    </row>
    <row r="202" spans="1:22" ht="14.25" x14ac:dyDescent="0.2">
      <c r="A202" s="18"/>
      <c r="B202" s="18"/>
      <c r="C202" s="18"/>
      <c r="D202" s="18" t="s">
        <v>537</v>
      </c>
      <c r="E202" s="19" t="s">
        <v>538</v>
      </c>
      <c r="F202" s="9">
        <f>Source!AT499</f>
        <v>70</v>
      </c>
      <c r="G202" s="21"/>
      <c r="H202" s="20"/>
      <c r="I202" s="9"/>
      <c r="J202" s="9"/>
      <c r="K202" s="21">
        <f>SUM(R198:R201)</f>
        <v>7131.97</v>
      </c>
      <c r="L202" s="21"/>
    </row>
    <row r="203" spans="1:22" ht="14.25" x14ac:dyDescent="0.2">
      <c r="A203" s="18"/>
      <c r="B203" s="18"/>
      <c r="C203" s="18"/>
      <c r="D203" s="18" t="s">
        <v>539</v>
      </c>
      <c r="E203" s="19" t="s">
        <v>538</v>
      </c>
      <c r="F203" s="9">
        <f>Source!AU499</f>
        <v>10</v>
      </c>
      <c r="G203" s="21"/>
      <c r="H203" s="20"/>
      <c r="I203" s="9"/>
      <c r="J203" s="9"/>
      <c r="K203" s="21">
        <f>SUM(T198:T202)</f>
        <v>1018.85</v>
      </c>
      <c r="L203" s="21"/>
    </row>
    <row r="204" spans="1:22" ht="14.25" x14ac:dyDescent="0.2">
      <c r="A204" s="18"/>
      <c r="B204" s="18"/>
      <c r="C204" s="18"/>
      <c r="D204" s="18" t="s">
        <v>540</v>
      </c>
      <c r="E204" s="19" t="s">
        <v>541</v>
      </c>
      <c r="F204" s="9">
        <f>Source!AQ499</f>
        <v>1.5</v>
      </c>
      <c r="G204" s="21"/>
      <c r="H204" s="20" t="str">
        <f>Source!DI499</f>
        <v/>
      </c>
      <c r="I204" s="9">
        <f>Source!AV499</f>
        <v>1</v>
      </c>
      <c r="J204" s="9"/>
      <c r="K204" s="21"/>
      <c r="L204" s="21">
        <f>Source!U499</f>
        <v>16.5</v>
      </c>
    </row>
    <row r="205" spans="1:22" ht="15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44">
        <f>K200+K201+K202+K203</f>
        <v>18475.64</v>
      </c>
      <c r="K205" s="44"/>
      <c r="L205" s="25">
        <f>IF(Source!I499&lt;&gt;0, ROUND(J205/Source!I499, 2), 0)</f>
        <v>1679.6</v>
      </c>
      <c r="P205" s="23">
        <f>J205</f>
        <v>18475.64</v>
      </c>
    </row>
    <row r="206" spans="1:22" ht="57" x14ac:dyDescent="0.2">
      <c r="A206" s="18">
        <v>16</v>
      </c>
      <c r="B206" s="18">
        <v>16</v>
      </c>
      <c r="C206" s="18" t="str">
        <f>Source!F503</f>
        <v>1.21-2203-19-1/1</v>
      </c>
      <c r="D206" s="18" t="str">
        <f>Source!G503</f>
        <v>Техническое обслуживание шкафа устройства автоматического включения резерва (АВР) с основным и резервным вводом</v>
      </c>
      <c r="E206" s="19" t="str">
        <f>Source!H503</f>
        <v>шт.</v>
      </c>
      <c r="F206" s="9">
        <f>Source!I503</f>
        <v>1</v>
      </c>
      <c r="G206" s="21"/>
      <c r="H206" s="20"/>
      <c r="I206" s="9"/>
      <c r="J206" s="9"/>
      <c r="K206" s="21"/>
      <c r="L206" s="21"/>
      <c r="Q206">
        <f>ROUND((Source!BZ503/100)*ROUND((Source!AF503*Source!AV503)*Source!I503, 2), 2)</f>
        <v>187.36</v>
      </c>
      <c r="R206">
        <f>Source!X503</f>
        <v>187.36</v>
      </c>
      <c r="S206">
        <f>ROUND((Source!CA503/100)*ROUND((Source!AF503*Source!AV503)*Source!I503, 2), 2)</f>
        <v>26.77</v>
      </c>
      <c r="T206">
        <f>Source!Y503</f>
        <v>26.77</v>
      </c>
      <c r="U206">
        <f>ROUND((175/100)*ROUND((Source!AE503*Source!AV503)*Source!I503, 2), 2)</f>
        <v>43.38</v>
      </c>
      <c r="V206">
        <f>ROUND((108/100)*ROUND(Source!CS503*Source!I503, 2), 2)</f>
        <v>26.77</v>
      </c>
    </row>
    <row r="207" spans="1:22" ht="14.25" x14ac:dyDescent="0.2">
      <c r="A207" s="18"/>
      <c r="B207" s="18"/>
      <c r="C207" s="18"/>
      <c r="D207" s="18" t="s">
        <v>536</v>
      </c>
      <c r="E207" s="19"/>
      <c r="F207" s="9"/>
      <c r="G207" s="21">
        <f>Source!AO503</f>
        <v>267.66000000000003</v>
      </c>
      <c r="H207" s="20" t="str">
        <f>Source!DG503</f>
        <v/>
      </c>
      <c r="I207" s="9">
        <f>Source!AV503</f>
        <v>1</v>
      </c>
      <c r="J207" s="9">
        <f>IF(Source!BA503&lt;&gt; 0, Source!BA503, 1)</f>
        <v>1</v>
      </c>
      <c r="K207" s="21">
        <f>Source!S503</f>
        <v>267.66000000000003</v>
      </c>
      <c r="L207" s="21"/>
    </row>
    <row r="208" spans="1:22" ht="14.25" x14ac:dyDescent="0.2">
      <c r="A208" s="18"/>
      <c r="B208" s="18"/>
      <c r="C208" s="18"/>
      <c r="D208" s="18" t="s">
        <v>542</v>
      </c>
      <c r="E208" s="19"/>
      <c r="F208" s="9"/>
      <c r="G208" s="21">
        <f>Source!AM503</f>
        <v>39.090000000000003</v>
      </c>
      <c r="H208" s="20" t="str">
        <f>Source!DE503</f>
        <v/>
      </c>
      <c r="I208" s="9">
        <f>Source!AV503</f>
        <v>1</v>
      </c>
      <c r="J208" s="9">
        <f>IF(Source!BB503&lt;&gt; 0, Source!BB503, 1)</f>
        <v>1</v>
      </c>
      <c r="K208" s="21">
        <f>Source!Q503</f>
        <v>39.090000000000003</v>
      </c>
      <c r="L208" s="21"/>
    </row>
    <row r="209" spans="1:22" ht="14.25" x14ac:dyDescent="0.2">
      <c r="A209" s="18"/>
      <c r="B209" s="18"/>
      <c r="C209" s="18"/>
      <c r="D209" s="18" t="s">
        <v>543</v>
      </c>
      <c r="E209" s="19"/>
      <c r="F209" s="9"/>
      <c r="G209" s="21">
        <f>Source!AN503</f>
        <v>24.79</v>
      </c>
      <c r="H209" s="20" t="str">
        <f>Source!DF503</f>
        <v/>
      </c>
      <c r="I209" s="9">
        <f>Source!AV503</f>
        <v>1</v>
      </c>
      <c r="J209" s="9">
        <f>IF(Source!BS503&lt;&gt; 0, Source!BS503, 1)</f>
        <v>1</v>
      </c>
      <c r="K209" s="26">
        <f>Source!R503</f>
        <v>24.79</v>
      </c>
      <c r="L209" s="21"/>
    </row>
    <row r="210" spans="1:22" ht="14.25" x14ac:dyDescent="0.2">
      <c r="A210" s="18"/>
      <c r="B210" s="18"/>
      <c r="C210" s="18"/>
      <c r="D210" s="18" t="s">
        <v>544</v>
      </c>
      <c r="E210" s="19"/>
      <c r="F210" s="9"/>
      <c r="G210" s="21">
        <f>Source!AL503</f>
        <v>0.09</v>
      </c>
      <c r="H210" s="20" t="str">
        <f>Source!DD503</f>
        <v/>
      </c>
      <c r="I210" s="9">
        <f>Source!AW503</f>
        <v>1</v>
      </c>
      <c r="J210" s="9">
        <f>IF(Source!BC503&lt;&gt; 0, Source!BC503, 1)</f>
        <v>1</v>
      </c>
      <c r="K210" s="21">
        <f>Source!P503</f>
        <v>0.09</v>
      </c>
      <c r="L210" s="21"/>
    </row>
    <row r="211" spans="1:22" ht="14.25" x14ac:dyDescent="0.2">
      <c r="A211" s="18"/>
      <c r="B211" s="18"/>
      <c r="C211" s="18"/>
      <c r="D211" s="18" t="s">
        <v>537</v>
      </c>
      <c r="E211" s="19" t="s">
        <v>538</v>
      </c>
      <c r="F211" s="9">
        <f>Source!AT503</f>
        <v>70</v>
      </c>
      <c r="G211" s="21"/>
      <c r="H211" s="20"/>
      <c r="I211" s="9"/>
      <c r="J211" s="9"/>
      <c r="K211" s="21">
        <f>SUM(R206:R210)</f>
        <v>187.36</v>
      </c>
      <c r="L211" s="21"/>
    </row>
    <row r="212" spans="1:22" ht="14.25" x14ac:dyDescent="0.2">
      <c r="A212" s="18"/>
      <c r="B212" s="18"/>
      <c r="C212" s="18"/>
      <c r="D212" s="18" t="s">
        <v>539</v>
      </c>
      <c r="E212" s="19" t="s">
        <v>538</v>
      </c>
      <c r="F212" s="9">
        <f>Source!AU503</f>
        <v>10</v>
      </c>
      <c r="G212" s="21"/>
      <c r="H212" s="20"/>
      <c r="I212" s="9"/>
      <c r="J212" s="9"/>
      <c r="K212" s="21">
        <f>SUM(T206:T211)</f>
        <v>26.77</v>
      </c>
      <c r="L212" s="21"/>
    </row>
    <row r="213" spans="1:22" ht="14.25" x14ac:dyDescent="0.2">
      <c r="A213" s="18"/>
      <c r="B213" s="18"/>
      <c r="C213" s="18"/>
      <c r="D213" s="18" t="s">
        <v>545</v>
      </c>
      <c r="E213" s="19" t="s">
        <v>538</v>
      </c>
      <c r="F213" s="9">
        <f>108</f>
        <v>108</v>
      </c>
      <c r="G213" s="21"/>
      <c r="H213" s="20"/>
      <c r="I213" s="9"/>
      <c r="J213" s="9"/>
      <c r="K213" s="21">
        <f>SUM(V206:V212)</f>
        <v>26.77</v>
      </c>
      <c r="L213" s="21"/>
    </row>
    <row r="214" spans="1:22" ht="14.25" x14ac:dyDescent="0.2">
      <c r="A214" s="18"/>
      <c r="B214" s="18"/>
      <c r="C214" s="18"/>
      <c r="D214" s="18" t="s">
        <v>540</v>
      </c>
      <c r="E214" s="19" t="s">
        <v>541</v>
      </c>
      <c r="F214" s="9">
        <f>Source!AQ503</f>
        <v>0.5</v>
      </c>
      <c r="G214" s="21"/>
      <c r="H214" s="20" t="str">
        <f>Source!DI503</f>
        <v/>
      </c>
      <c r="I214" s="9">
        <f>Source!AV503</f>
        <v>1</v>
      </c>
      <c r="J214" s="9"/>
      <c r="K214" s="21"/>
      <c r="L214" s="21">
        <f>Source!U503</f>
        <v>0.5</v>
      </c>
    </row>
    <row r="215" spans="1:22" ht="15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44">
        <f>K207+K208+K210+K211+K212+K213</f>
        <v>547.74</v>
      </c>
      <c r="K215" s="44"/>
      <c r="L215" s="25">
        <f>IF(Source!I503&lt;&gt;0, ROUND(J215/Source!I503, 2), 0)</f>
        <v>547.74</v>
      </c>
      <c r="P215" s="23">
        <f>J215</f>
        <v>547.74</v>
      </c>
    </row>
    <row r="216" spans="1:22" ht="85.5" x14ac:dyDescent="0.2">
      <c r="A216" s="18">
        <v>17</v>
      </c>
      <c r="B216" s="18">
        <v>17</v>
      </c>
      <c r="C216" s="18" t="str">
        <f>Source!F506</f>
        <v>1.21-2203-37-1/1</v>
      </c>
      <c r="D216" s="18" t="str">
        <f>Source!G506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216" s="19" t="str">
        <f>Source!H506</f>
        <v>шт.</v>
      </c>
      <c r="F216" s="9">
        <f>Source!I506</f>
        <v>1</v>
      </c>
      <c r="G216" s="21"/>
      <c r="H216" s="20"/>
      <c r="I216" s="9"/>
      <c r="J216" s="9"/>
      <c r="K216" s="21"/>
      <c r="L216" s="21"/>
      <c r="Q216">
        <f>ROUND((Source!BZ506/100)*ROUND((Source!AF506*Source!AV506)*Source!I506, 2), 2)</f>
        <v>236.12</v>
      </c>
      <c r="R216">
        <f>Source!X506</f>
        <v>236.12</v>
      </c>
      <c r="S216">
        <f>ROUND((Source!CA506/100)*ROUND((Source!AF506*Source!AV506)*Source!I506, 2), 2)</f>
        <v>33.729999999999997</v>
      </c>
      <c r="T216">
        <f>Source!Y506</f>
        <v>33.729999999999997</v>
      </c>
      <c r="U216">
        <f>ROUND((175/100)*ROUND((Source!AE506*Source!AV506)*Source!I506, 2), 2)</f>
        <v>0</v>
      </c>
      <c r="V216">
        <f>ROUND((108/100)*ROUND(Source!CS506*Source!I506, 2), 2)</f>
        <v>0</v>
      </c>
    </row>
    <row r="217" spans="1:22" ht="14.25" x14ac:dyDescent="0.2">
      <c r="A217" s="18"/>
      <c r="B217" s="18"/>
      <c r="C217" s="18"/>
      <c r="D217" s="18" t="s">
        <v>536</v>
      </c>
      <c r="E217" s="19"/>
      <c r="F217" s="9"/>
      <c r="G217" s="21">
        <f>Source!AO506</f>
        <v>337.31</v>
      </c>
      <c r="H217" s="20" t="str">
        <f>Source!DG506</f>
        <v/>
      </c>
      <c r="I217" s="9">
        <f>Source!AV506</f>
        <v>1</v>
      </c>
      <c r="J217" s="9">
        <f>IF(Source!BA506&lt;&gt; 0, Source!BA506, 1)</f>
        <v>1</v>
      </c>
      <c r="K217" s="21">
        <f>Source!S506</f>
        <v>337.31</v>
      </c>
      <c r="L217" s="21"/>
    </row>
    <row r="218" spans="1:22" ht="14.25" x14ac:dyDescent="0.2">
      <c r="A218" s="18"/>
      <c r="B218" s="18"/>
      <c r="C218" s="18"/>
      <c r="D218" s="18" t="s">
        <v>544</v>
      </c>
      <c r="E218" s="19"/>
      <c r="F218" s="9"/>
      <c r="G218" s="21">
        <f>Source!AL506</f>
        <v>1.57</v>
      </c>
      <c r="H218" s="20" t="str">
        <f>Source!DD506</f>
        <v/>
      </c>
      <c r="I218" s="9">
        <f>Source!AW506</f>
        <v>1</v>
      </c>
      <c r="J218" s="9">
        <f>IF(Source!BC506&lt;&gt; 0, Source!BC506, 1)</f>
        <v>1</v>
      </c>
      <c r="K218" s="21">
        <f>Source!P506</f>
        <v>1.57</v>
      </c>
      <c r="L218" s="21"/>
    </row>
    <row r="219" spans="1:22" ht="14.25" x14ac:dyDescent="0.2">
      <c r="A219" s="18"/>
      <c r="B219" s="18"/>
      <c r="C219" s="18"/>
      <c r="D219" s="18" t="s">
        <v>537</v>
      </c>
      <c r="E219" s="19" t="s">
        <v>538</v>
      </c>
      <c r="F219" s="9">
        <f>Source!AT506</f>
        <v>70</v>
      </c>
      <c r="G219" s="21"/>
      <c r="H219" s="20"/>
      <c r="I219" s="9"/>
      <c r="J219" s="9"/>
      <c r="K219" s="21">
        <f>SUM(R216:R218)</f>
        <v>236.12</v>
      </c>
      <c r="L219" s="21"/>
    </row>
    <row r="220" spans="1:22" ht="14.25" x14ac:dyDescent="0.2">
      <c r="A220" s="18"/>
      <c r="B220" s="18"/>
      <c r="C220" s="18"/>
      <c r="D220" s="18" t="s">
        <v>539</v>
      </c>
      <c r="E220" s="19" t="s">
        <v>538</v>
      </c>
      <c r="F220" s="9">
        <f>Source!AU506</f>
        <v>10</v>
      </c>
      <c r="G220" s="21"/>
      <c r="H220" s="20"/>
      <c r="I220" s="9"/>
      <c r="J220" s="9"/>
      <c r="K220" s="21">
        <f>SUM(T216:T219)</f>
        <v>33.729999999999997</v>
      </c>
      <c r="L220" s="21"/>
    </row>
    <row r="221" spans="1:22" ht="14.25" x14ac:dyDescent="0.2">
      <c r="A221" s="18"/>
      <c r="B221" s="18"/>
      <c r="C221" s="18"/>
      <c r="D221" s="18" t="s">
        <v>540</v>
      </c>
      <c r="E221" s="19" t="s">
        <v>541</v>
      </c>
      <c r="F221" s="9">
        <f>Source!AQ506</f>
        <v>0.6</v>
      </c>
      <c r="G221" s="21"/>
      <c r="H221" s="20" t="str">
        <f>Source!DI506</f>
        <v/>
      </c>
      <c r="I221" s="9">
        <f>Source!AV506</f>
        <v>1</v>
      </c>
      <c r="J221" s="9"/>
      <c r="K221" s="21"/>
      <c r="L221" s="21">
        <f>Source!U506</f>
        <v>0.6</v>
      </c>
    </row>
    <row r="222" spans="1:22" ht="15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44">
        <f>K217+K218+K219+K220</f>
        <v>608.73</v>
      </c>
      <c r="K222" s="44"/>
      <c r="L222" s="25">
        <f>IF(Source!I506&lt;&gt;0, ROUND(J222/Source!I506, 2), 0)</f>
        <v>608.73</v>
      </c>
      <c r="P222" s="23">
        <f>J222</f>
        <v>608.73</v>
      </c>
    </row>
    <row r="223" spans="1:22" ht="57" x14ac:dyDescent="0.2">
      <c r="A223" s="18">
        <v>18</v>
      </c>
      <c r="B223" s="18">
        <v>18</v>
      </c>
      <c r="C223" s="18" t="str">
        <f>Source!F507</f>
        <v>1.21-2303-3-1/1</v>
      </c>
      <c r="D223" s="18" t="str">
        <f>Source!G507</f>
        <v>Техническое обслуживание выключателей автоматических трехполюсных установочных, номинальный ток до 200 А,</v>
      </c>
      <c r="E223" s="19" t="str">
        <f>Source!H507</f>
        <v>шт.</v>
      </c>
      <c r="F223" s="9">
        <f>Source!I507</f>
        <v>4</v>
      </c>
      <c r="G223" s="21"/>
      <c r="H223" s="20"/>
      <c r="I223" s="9"/>
      <c r="J223" s="9"/>
      <c r="K223" s="21"/>
      <c r="L223" s="21"/>
      <c r="Q223">
        <f>ROUND((Source!BZ507/100)*ROUND((Source!AF507*Source!AV507)*Source!I507, 2), 2)</f>
        <v>2593.44</v>
      </c>
      <c r="R223">
        <f>Source!X507</f>
        <v>2593.44</v>
      </c>
      <c r="S223">
        <f>ROUND((Source!CA507/100)*ROUND((Source!AF507*Source!AV507)*Source!I507, 2), 2)</f>
        <v>370.49</v>
      </c>
      <c r="T223">
        <f>Source!Y507</f>
        <v>370.49</v>
      </c>
      <c r="U223">
        <f>ROUND((175/100)*ROUND((Source!AE507*Source!AV507)*Source!I507, 2), 2)</f>
        <v>0</v>
      </c>
      <c r="V223">
        <f>ROUND((108/100)*ROUND(Source!CS507*Source!I507, 2), 2)</f>
        <v>0</v>
      </c>
    </row>
    <row r="224" spans="1:22" ht="14.25" x14ac:dyDescent="0.2">
      <c r="A224" s="18"/>
      <c r="B224" s="18"/>
      <c r="C224" s="18"/>
      <c r="D224" s="18" t="s">
        <v>536</v>
      </c>
      <c r="E224" s="19"/>
      <c r="F224" s="9"/>
      <c r="G224" s="21">
        <f>Source!AO507</f>
        <v>926.23</v>
      </c>
      <c r="H224" s="20" t="str">
        <f>Source!DG507</f>
        <v/>
      </c>
      <c r="I224" s="9">
        <f>Source!AV507</f>
        <v>1</v>
      </c>
      <c r="J224" s="9">
        <f>IF(Source!BA507&lt;&gt; 0, Source!BA507, 1)</f>
        <v>1</v>
      </c>
      <c r="K224" s="21">
        <f>Source!S507</f>
        <v>3704.92</v>
      </c>
      <c r="L224" s="21"/>
    </row>
    <row r="225" spans="1:22" ht="14.25" x14ac:dyDescent="0.2">
      <c r="A225" s="18"/>
      <c r="B225" s="18"/>
      <c r="C225" s="18"/>
      <c r="D225" s="18" t="s">
        <v>544</v>
      </c>
      <c r="E225" s="19"/>
      <c r="F225" s="9"/>
      <c r="G225" s="21">
        <f>Source!AL507</f>
        <v>12.39</v>
      </c>
      <c r="H225" s="20" t="str">
        <f>Source!DD507</f>
        <v/>
      </c>
      <c r="I225" s="9">
        <f>Source!AW507</f>
        <v>1</v>
      </c>
      <c r="J225" s="9">
        <f>IF(Source!BC507&lt;&gt; 0, Source!BC507, 1)</f>
        <v>1</v>
      </c>
      <c r="K225" s="21">
        <f>Source!P507</f>
        <v>49.56</v>
      </c>
      <c r="L225" s="21"/>
    </row>
    <row r="226" spans="1:22" ht="14.25" x14ac:dyDescent="0.2">
      <c r="A226" s="18"/>
      <c r="B226" s="18"/>
      <c r="C226" s="18"/>
      <c r="D226" s="18" t="s">
        <v>537</v>
      </c>
      <c r="E226" s="19" t="s">
        <v>538</v>
      </c>
      <c r="F226" s="9">
        <f>Source!AT507</f>
        <v>70</v>
      </c>
      <c r="G226" s="21"/>
      <c r="H226" s="20"/>
      <c r="I226" s="9"/>
      <c r="J226" s="9"/>
      <c r="K226" s="21">
        <f>SUM(R223:R225)</f>
        <v>2593.44</v>
      </c>
      <c r="L226" s="21"/>
    </row>
    <row r="227" spans="1:22" ht="14.25" x14ac:dyDescent="0.2">
      <c r="A227" s="18"/>
      <c r="B227" s="18"/>
      <c r="C227" s="18"/>
      <c r="D227" s="18" t="s">
        <v>539</v>
      </c>
      <c r="E227" s="19" t="s">
        <v>538</v>
      </c>
      <c r="F227" s="9">
        <f>Source!AU507</f>
        <v>10</v>
      </c>
      <c r="G227" s="21"/>
      <c r="H227" s="20"/>
      <c r="I227" s="9"/>
      <c r="J227" s="9"/>
      <c r="K227" s="21">
        <f>SUM(T223:T226)</f>
        <v>370.49</v>
      </c>
      <c r="L227" s="21"/>
    </row>
    <row r="228" spans="1:22" ht="14.25" x14ac:dyDescent="0.2">
      <c r="A228" s="18"/>
      <c r="B228" s="18"/>
      <c r="C228" s="18"/>
      <c r="D228" s="18" t="s">
        <v>540</v>
      </c>
      <c r="E228" s="19" t="s">
        <v>541</v>
      </c>
      <c r="F228" s="9">
        <f>Source!AQ507</f>
        <v>1.5</v>
      </c>
      <c r="G228" s="21"/>
      <c r="H228" s="20" t="str">
        <f>Source!DI507</f>
        <v/>
      </c>
      <c r="I228" s="9">
        <f>Source!AV507</f>
        <v>1</v>
      </c>
      <c r="J228" s="9"/>
      <c r="K228" s="21"/>
      <c r="L228" s="21">
        <f>Source!U507</f>
        <v>6</v>
      </c>
    </row>
    <row r="229" spans="1:22" ht="15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44">
        <f>K224+K225+K226+K227</f>
        <v>6718.41</v>
      </c>
      <c r="K229" s="44"/>
      <c r="L229" s="25">
        <f>IF(Source!I507&lt;&gt;0, ROUND(J229/Source!I507, 2), 0)</f>
        <v>1679.6</v>
      </c>
      <c r="P229" s="23">
        <f>J229</f>
        <v>6718.41</v>
      </c>
    </row>
    <row r="230" spans="1:22" ht="42.75" x14ac:dyDescent="0.2">
      <c r="A230" s="18">
        <v>19</v>
      </c>
      <c r="B230" s="18">
        <v>19</v>
      </c>
      <c r="C230" s="18" t="str">
        <f>Source!F510</f>
        <v>1.21-2303-28-1/1</v>
      </c>
      <c r="D230" s="18" t="str">
        <f>Source!G510</f>
        <v>Техническое обслуживание автоматического выключателя до 160 А</v>
      </c>
      <c r="E230" s="19" t="str">
        <f>Source!H510</f>
        <v>шт.</v>
      </c>
      <c r="F230" s="9">
        <f>Source!I510</f>
        <v>15</v>
      </c>
      <c r="G230" s="21"/>
      <c r="H230" s="20"/>
      <c r="I230" s="9"/>
      <c r="J230" s="9"/>
      <c r="K230" s="21"/>
      <c r="L230" s="21"/>
      <c r="Q230">
        <f>ROUND((Source!BZ510/100)*ROUND((Source!AF510*Source!AV510)*Source!I510, 2), 2)</f>
        <v>4470.8999999999996</v>
      </c>
      <c r="R230">
        <f>Source!X510</f>
        <v>4470.8999999999996</v>
      </c>
      <c r="S230">
        <f>ROUND((Source!CA510/100)*ROUND((Source!AF510*Source!AV510)*Source!I510, 2), 2)</f>
        <v>638.70000000000005</v>
      </c>
      <c r="T230">
        <f>Source!Y510</f>
        <v>638.70000000000005</v>
      </c>
      <c r="U230">
        <f>ROUND((175/100)*ROUND((Source!AE510*Source!AV510)*Source!I510, 2), 2)</f>
        <v>0</v>
      </c>
      <c r="V230">
        <f>ROUND((108/100)*ROUND(Source!CS510*Source!I510, 2), 2)</f>
        <v>0</v>
      </c>
    </row>
    <row r="231" spans="1:22" x14ac:dyDescent="0.2">
      <c r="D231" s="22" t="str">
        <f>"Объем: "&amp;Source!I510&amp;"=1+"&amp;"14"</f>
        <v>Объем: 15=1+14</v>
      </c>
    </row>
    <row r="232" spans="1:22" ht="14.25" x14ac:dyDescent="0.2">
      <c r="A232" s="18"/>
      <c r="B232" s="18"/>
      <c r="C232" s="18"/>
      <c r="D232" s="18" t="s">
        <v>536</v>
      </c>
      <c r="E232" s="19"/>
      <c r="F232" s="9"/>
      <c r="G232" s="21">
        <f>Source!AO510</f>
        <v>212.9</v>
      </c>
      <c r="H232" s="20" t="str">
        <f>Source!DG510</f>
        <v>)*2</v>
      </c>
      <c r="I232" s="9">
        <f>Source!AV510</f>
        <v>1</v>
      </c>
      <c r="J232" s="9">
        <f>IF(Source!BA510&lt;&gt; 0, Source!BA510, 1)</f>
        <v>1</v>
      </c>
      <c r="K232" s="21">
        <f>Source!S510</f>
        <v>6387</v>
      </c>
      <c r="L232" s="21"/>
    </row>
    <row r="233" spans="1:22" ht="14.25" x14ac:dyDescent="0.2">
      <c r="A233" s="18"/>
      <c r="B233" s="18"/>
      <c r="C233" s="18"/>
      <c r="D233" s="18" t="s">
        <v>544</v>
      </c>
      <c r="E233" s="19"/>
      <c r="F233" s="9"/>
      <c r="G233" s="21">
        <f>Source!AL510</f>
        <v>4.53</v>
      </c>
      <c r="H233" s="20" t="str">
        <f>Source!DD510</f>
        <v>)*2</v>
      </c>
      <c r="I233" s="9">
        <f>Source!AW510</f>
        <v>1</v>
      </c>
      <c r="J233" s="9">
        <f>IF(Source!BC510&lt;&gt; 0, Source!BC510, 1)</f>
        <v>1</v>
      </c>
      <c r="K233" s="21">
        <f>Source!P510</f>
        <v>135.9</v>
      </c>
      <c r="L233" s="21"/>
    </row>
    <row r="234" spans="1:22" ht="14.25" x14ac:dyDescent="0.2">
      <c r="A234" s="18"/>
      <c r="B234" s="18"/>
      <c r="C234" s="18"/>
      <c r="D234" s="18" t="s">
        <v>537</v>
      </c>
      <c r="E234" s="19" t="s">
        <v>538</v>
      </c>
      <c r="F234" s="9">
        <f>Source!AT510</f>
        <v>70</v>
      </c>
      <c r="G234" s="21"/>
      <c r="H234" s="20"/>
      <c r="I234" s="9"/>
      <c r="J234" s="9"/>
      <c r="K234" s="21">
        <f>SUM(R230:R233)</f>
        <v>4470.8999999999996</v>
      </c>
      <c r="L234" s="21"/>
    </row>
    <row r="235" spans="1:22" ht="14.25" x14ac:dyDescent="0.2">
      <c r="A235" s="18"/>
      <c r="B235" s="18"/>
      <c r="C235" s="18"/>
      <c r="D235" s="18" t="s">
        <v>539</v>
      </c>
      <c r="E235" s="19" t="s">
        <v>538</v>
      </c>
      <c r="F235" s="9">
        <f>Source!AU510</f>
        <v>10</v>
      </c>
      <c r="G235" s="21"/>
      <c r="H235" s="20"/>
      <c r="I235" s="9"/>
      <c r="J235" s="9"/>
      <c r="K235" s="21">
        <f>SUM(T230:T234)</f>
        <v>638.70000000000005</v>
      </c>
      <c r="L235" s="21"/>
    </row>
    <row r="236" spans="1:22" ht="14.25" x14ac:dyDescent="0.2">
      <c r="A236" s="18"/>
      <c r="B236" s="18"/>
      <c r="C236" s="18"/>
      <c r="D236" s="18" t="s">
        <v>540</v>
      </c>
      <c r="E236" s="19" t="s">
        <v>541</v>
      </c>
      <c r="F236" s="9">
        <f>Source!AQ510</f>
        <v>0.3</v>
      </c>
      <c r="G236" s="21"/>
      <c r="H236" s="20" t="str">
        <f>Source!DI510</f>
        <v>)*2</v>
      </c>
      <c r="I236" s="9">
        <f>Source!AV510</f>
        <v>1</v>
      </c>
      <c r="J236" s="9"/>
      <c r="K236" s="21"/>
      <c r="L236" s="21">
        <f>Source!U510</f>
        <v>9</v>
      </c>
    </row>
    <row r="237" spans="1:22" ht="15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44">
        <f>K232+K233+K234+K235</f>
        <v>11632.5</v>
      </c>
      <c r="K237" s="44"/>
      <c r="L237" s="25">
        <f>IF(Source!I510&lt;&gt;0, ROUND(J237/Source!I510, 2), 0)</f>
        <v>775.5</v>
      </c>
      <c r="P237" s="23">
        <f>J237</f>
        <v>11632.5</v>
      </c>
    </row>
    <row r="238" spans="1:22" ht="42.75" x14ac:dyDescent="0.2">
      <c r="A238" s="18">
        <v>20</v>
      </c>
      <c r="B238" s="18">
        <v>20</v>
      </c>
      <c r="C238" s="18" t="str">
        <f>Source!F512</f>
        <v>1.21-2303-28-1/1</v>
      </c>
      <c r="D238" s="18" t="str">
        <f>Source!G512</f>
        <v>Техническое обслуживание автоматического выключателя до 160 А</v>
      </c>
      <c r="E238" s="19" t="str">
        <f>Source!H512</f>
        <v>шт.</v>
      </c>
      <c r="F238" s="9">
        <f>Source!I512</f>
        <v>5</v>
      </c>
      <c r="G238" s="21"/>
      <c r="H238" s="20"/>
      <c r="I238" s="9"/>
      <c r="J238" s="9"/>
      <c r="K238" s="21"/>
      <c r="L238" s="21"/>
      <c r="Q238">
        <f>ROUND((Source!BZ512/100)*ROUND((Source!AF512*Source!AV512)*Source!I512, 2), 2)</f>
        <v>1490.3</v>
      </c>
      <c r="R238">
        <f>Source!X512</f>
        <v>1490.3</v>
      </c>
      <c r="S238">
        <f>ROUND((Source!CA512/100)*ROUND((Source!AF512*Source!AV512)*Source!I512, 2), 2)</f>
        <v>212.9</v>
      </c>
      <c r="T238">
        <f>Source!Y512</f>
        <v>212.9</v>
      </c>
      <c r="U238">
        <f>ROUND((175/100)*ROUND((Source!AE512*Source!AV512)*Source!I512, 2), 2)</f>
        <v>0</v>
      </c>
      <c r="V238">
        <f>ROUND((108/100)*ROUND(Source!CS512*Source!I512, 2), 2)</f>
        <v>0</v>
      </c>
    </row>
    <row r="239" spans="1:22" x14ac:dyDescent="0.2">
      <c r="D239" s="22" t="str">
        <f>"Объем: "&amp;Source!I512&amp;"=1+"&amp;"4"</f>
        <v>Объем: 5=1+4</v>
      </c>
    </row>
    <row r="240" spans="1:22" ht="14.25" x14ac:dyDescent="0.2">
      <c r="A240" s="18"/>
      <c r="B240" s="18"/>
      <c r="C240" s="18"/>
      <c r="D240" s="18" t="s">
        <v>536</v>
      </c>
      <c r="E240" s="19"/>
      <c r="F240" s="9"/>
      <c r="G240" s="21">
        <f>Source!AO512</f>
        <v>212.9</v>
      </c>
      <c r="H240" s="20" t="str">
        <f>Source!DG512</f>
        <v>)*2</v>
      </c>
      <c r="I240" s="9">
        <f>Source!AV512</f>
        <v>1</v>
      </c>
      <c r="J240" s="9">
        <f>IF(Source!BA512&lt;&gt; 0, Source!BA512, 1)</f>
        <v>1</v>
      </c>
      <c r="K240" s="21">
        <f>Source!S512</f>
        <v>2129</v>
      </c>
      <c r="L240" s="21"/>
    </row>
    <row r="241" spans="1:22" ht="14.25" x14ac:dyDescent="0.2">
      <c r="A241" s="18"/>
      <c r="B241" s="18"/>
      <c r="C241" s="18"/>
      <c r="D241" s="18" t="s">
        <v>544</v>
      </c>
      <c r="E241" s="19"/>
      <c r="F241" s="9"/>
      <c r="G241" s="21">
        <f>Source!AL512</f>
        <v>4.53</v>
      </c>
      <c r="H241" s="20" t="str">
        <f>Source!DD512</f>
        <v>)*2</v>
      </c>
      <c r="I241" s="9">
        <f>Source!AW512</f>
        <v>1</v>
      </c>
      <c r="J241" s="9">
        <f>IF(Source!BC512&lt;&gt; 0, Source!BC512, 1)</f>
        <v>1</v>
      </c>
      <c r="K241" s="21">
        <f>Source!P512</f>
        <v>45.3</v>
      </c>
      <c r="L241" s="21"/>
    </row>
    <row r="242" spans="1:22" ht="14.25" x14ac:dyDescent="0.2">
      <c r="A242" s="18"/>
      <c r="B242" s="18"/>
      <c r="C242" s="18"/>
      <c r="D242" s="18" t="s">
        <v>537</v>
      </c>
      <c r="E242" s="19" t="s">
        <v>538</v>
      </c>
      <c r="F242" s="9">
        <f>Source!AT512</f>
        <v>70</v>
      </c>
      <c r="G242" s="21"/>
      <c r="H242" s="20"/>
      <c r="I242" s="9"/>
      <c r="J242" s="9"/>
      <c r="K242" s="21">
        <f>SUM(R238:R241)</f>
        <v>1490.3</v>
      </c>
      <c r="L242" s="21"/>
    </row>
    <row r="243" spans="1:22" ht="14.25" x14ac:dyDescent="0.2">
      <c r="A243" s="18"/>
      <c r="B243" s="18"/>
      <c r="C243" s="18"/>
      <c r="D243" s="18" t="s">
        <v>539</v>
      </c>
      <c r="E243" s="19" t="s">
        <v>538</v>
      </c>
      <c r="F243" s="9">
        <f>Source!AU512</f>
        <v>10</v>
      </c>
      <c r="G243" s="21"/>
      <c r="H243" s="20"/>
      <c r="I243" s="9"/>
      <c r="J243" s="9"/>
      <c r="K243" s="21">
        <f>SUM(T238:T242)</f>
        <v>212.9</v>
      </c>
      <c r="L243" s="21"/>
    </row>
    <row r="244" spans="1:22" ht="14.25" x14ac:dyDescent="0.2">
      <c r="A244" s="18"/>
      <c r="B244" s="18"/>
      <c r="C244" s="18"/>
      <c r="D244" s="18" t="s">
        <v>540</v>
      </c>
      <c r="E244" s="19" t="s">
        <v>541</v>
      </c>
      <c r="F244" s="9">
        <f>Source!AQ512</f>
        <v>0.3</v>
      </c>
      <c r="G244" s="21"/>
      <c r="H244" s="20" t="str">
        <f>Source!DI512</f>
        <v>)*2</v>
      </c>
      <c r="I244" s="9">
        <f>Source!AV512</f>
        <v>1</v>
      </c>
      <c r="J244" s="9"/>
      <c r="K244" s="21"/>
      <c r="L244" s="21">
        <f>Source!U512</f>
        <v>3</v>
      </c>
    </row>
    <row r="245" spans="1:22" ht="15" x14ac:dyDescent="0.25">
      <c r="A245" s="24"/>
      <c r="B245" s="24"/>
      <c r="C245" s="24"/>
      <c r="D245" s="24"/>
      <c r="E245" s="24"/>
      <c r="F245" s="24"/>
      <c r="G245" s="24"/>
      <c r="H245" s="24"/>
      <c r="I245" s="24"/>
      <c r="J245" s="44">
        <f>K240+K241+K242+K243</f>
        <v>3877.5000000000005</v>
      </c>
      <c r="K245" s="44"/>
      <c r="L245" s="25">
        <f>IF(Source!I512&lt;&gt;0, ROUND(J245/Source!I512, 2), 0)</f>
        <v>775.5</v>
      </c>
      <c r="P245" s="23">
        <f>J245</f>
        <v>3877.5000000000005</v>
      </c>
    </row>
    <row r="246" spans="1:22" ht="42.75" x14ac:dyDescent="0.2">
      <c r="A246" s="18">
        <v>21</v>
      </c>
      <c r="B246" s="18">
        <v>21</v>
      </c>
      <c r="C246" s="18" t="str">
        <f>Source!F514</f>
        <v>1.21-2303-49-1/1</v>
      </c>
      <c r="D246" s="18" t="str">
        <f>Source!G514</f>
        <v>Техническое обслуживание расцепителя напряжения независимого - полугодовое</v>
      </c>
      <c r="E246" s="19" t="str">
        <f>Source!H514</f>
        <v>шт.</v>
      </c>
      <c r="F246" s="9">
        <f>Source!I514</f>
        <v>1</v>
      </c>
      <c r="G246" s="21"/>
      <c r="H246" s="20"/>
      <c r="I246" s="9"/>
      <c r="J246" s="9"/>
      <c r="K246" s="21"/>
      <c r="L246" s="21"/>
      <c r="Q246">
        <f>ROUND((Source!BZ514/100)*ROUND((Source!AF514*Source!AV514)*Source!I514, 2), 2)</f>
        <v>62.97</v>
      </c>
      <c r="R246">
        <f>Source!X514</f>
        <v>62.97</v>
      </c>
      <c r="S246">
        <f>ROUND((Source!CA514/100)*ROUND((Source!AF514*Source!AV514)*Source!I514, 2), 2)</f>
        <v>9</v>
      </c>
      <c r="T246">
        <f>Source!Y514</f>
        <v>9</v>
      </c>
      <c r="U246">
        <f>ROUND((175/100)*ROUND((Source!AE514*Source!AV514)*Source!I514, 2), 2)</f>
        <v>0</v>
      </c>
      <c r="V246">
        <f>ROUND((108/100)*ROUND(Source!CS514*Source!I514, 2), 2)</f>
        <v>0</v>
      </c>
    </row>
    <row r="247" spans="1:22" ht="14.25" x14ac:dyDescent="0.2">
      <c r="A247" s="18"/>
      <c r="B247" s="18"/>
      <c r="C247" s="18"/>
      <c r="D247" s="18" t="s">
        <v>536</v>
      </c>
      <c r="E247" s="19"/>
      <c r="F247" s="9"/>
      <c r="G247" s="21">
        <f>Source!AO514</f>
        <v>89.95</v>
      </c>
      <c r="H247" s="20" t="str">
        <f>Source!DG514</f>
        <v/>
      </c>
      <c r="I247" s="9">
        <f>Source!AV514</f>
        <v>1</v>
      </c>
      <c r="J247" s="9">
        <f>IF(Source!BA514&lt;&gt; 0, Source!BA514, 1)</f>
        <v>1</v>
      </c>
      <c r="K247" s="21">
        <f>Source!S514</f>
        <v>89.95</v>
      </c>
      <c r="L247" s="21"/>
    </row>
    <row r="248" spans="1:22" ht="14.25" x14ac:dyDescent="0.2">
      <c r="A248" s="18"/>
      <c r="B248" s="18"/>
      <c r="C248" s="18"/>
      <c r="D248" s="18" t="s">
        <v>537</v>
      </c>
      <c r="E248" s="19" t="s">
        <v>538</v>
      </c>
      <c r="F248" s="9">
        <f>Source!AT514</f>
        <v>70</v>
      </c>
      <c r="G248" s="21"/>
      <c r="H248" s="20"/>
      <c r="I248" s="9"/>
      <c r="J248" s="9"/>
      <c r="K248" s="21">
        <f>SUM(R246:R247)</f>
        <v>62.97</v>
      </c>
      <c r="L248" s="21"/>
    </row>
    <row r="249" spans="1:22" ht="14.25" x14ac:dyDescent="0.2">
      <c r="A249" s="18"/>
      <c r="B249" s="18"/>
      <c r="C249" s="18"/>
      <c r="D249" s="18" t="s">
        <v>539</v>
      </c>
      <c r="E249" s="19" t="s">
        <v>538</v>
      </c>
      <c r="F249" s="9">
        <f>Source!AU514</f>
        <v>10</v>
      </c>
      <c r="G249" s="21"/>
      <c r="H249" s="20"/>
      <c r="I249" s="9"/>
      <c r="J249" s="9"/>
      <c r="K249" s="21">
        <f>SUM(T246:T248)</f>
        <v>9</v>
      </c>
      <c r="L249" s="21"/>
    </row>
    <row r="250" spans="1:22" ht="14.25" x14ac:dyDescent="0.2">
      <c r="A250" s="18"/>
      <c r="B250" s="18"/>
      <c r="C250" s="18"/>
      <c r="D250" s="18" t="s">
        <v>540</v>
      </c>
      <c r="E250" s="19" t="s">
        <v>541</v>
      </c>
      <c r="F250" s="9">
        <f>Source!AQ514</f>
        <v>0.16</v>
      </c>
      <c r="G250" s="21"/>
      <c r="H250" s="20" t="str">
        <f>Source!DI514</f>
        <v/>
      </c>
      <c r="I250" s="9">
        <f>Source!AV514</f>
        <v>1</v>
      </c>
      <c r="J250" s="9"/>
      <c r="K250" s="21"/>
      <c r="L250" s="21">
        <f>Source!U514</f>
        <v>0.16</v>
      </c>
    </row>
    <row r="251" spans="1:22" ht="15" x14ac:dyDescent="0.25">
      <c r="A251" s="24"/>
      <c r="B251" s="24"/>
      <c r="C251" s="24"/>
      <c r="D251" s="24"/>
      <c r="E251" s="24"/>
      <c r="F251" s="24"/>
      <c r="G251" s="24"/>
      <c r="H251" s="24"/>
      <c r="I251" s="24"/>
      <c r="J251" s="44">
        <f>K247+K248+K249</f>
        <v>161.92000000000002</v>
      </c>
      <c r="K251" s="44"/>
      <c r="L251" s="25">
        <f>IF(Source!I514&lt;&gt;0, ROUND(J251/Source!I514, 2), 0)</f>
        <v>161.91999999999999</v>
      </c>
      <c r="P251" s="23">
        <f>J251</f>
        <v>161.92000000000002</v>
      </c>
    </row>
    <row r="252" spans="1:22" ht="42.75" x14ac:dyDescent="0.2">
      <c r="A252" s="18">
        <v>22</v>
      </c>
      <c r="B252" s="18">
        <v>22</v>
      </c>
      <c r="C252" s="18" t="str">
        <f>Source!F515</f>
        <v>1.21-2303-28-1/1</v>
      </c>
      <c r="D252" s="18" t="str">
        <f>Source!G515</f>
        <v>Техническое обслуживание автоматического выключателя до 160 А</v>
      </c>
      <c r="E252" s="19" t="str">
        <f>Source!H515</f>
        <v>шт.</v>
      </c>
      <c r="F252" s="9">
        <f>Source!I515</f>
        <v>3</v>
      </c>
      <c r="G252" s="21"/>
      <c r="H252" s="20"/>
      <c r="I252" s="9"/>
      <c r="J252" s="9"/>
      <c r="K252" s="21"/>
      <c r="L252" s="21"/>
      <c r="Q252">
        <f>ROUND((Source!BZ515/100)*ROUND((Source!AF515*Source!AV515)*Source!I515, 2), 2)</f>
        <v>894.18</v>
      </c>
      <c r="R252">
        <f>Source!X515</f>
        <v>894.18</v>
      </c>
      <c r="S252">
        <f>ROUND((Source!CA515/100)*ROUND((Source!AF515*Source!AV515)*Source!I515, 2), 2)</f>
        <v>127.74</v>
      </c>
      <c r="T252">
        <f>Source!Y515</f>
        <v>127.74</v>
      </c>
      <c r="U252">
        <f>ROUND((175/100)*ROUND((Source!AE515*Source!AV515)*Source!I515, 2), 2)</f>
        <v>0</v>
      </c>
      <c r="V252">
        <f>ROUND((108/100)*ROUND(Source!CS515*Source!I515, 2), 2)</f>
        <v>0</v>
      </c>
    </row>
    <row r="253" spans="1:22" ht="14.25" x14ac:dyDescent="0.2">
      <c r="A253" s="18"/>
      <c r="B253" s="18"/>
      <c r="C253" s="18"/>
      <c r="D253" s="18" t="s">
        <v>536</v>
      </c>
      <c r="E253" s="19"/>
      <c r="F253" s="9"/>
      <c r="G253" s="21">
        <f>Source!AO515</f>
        <v>212.9</v>
      </c>
      <c r="H253" s="20" t="str">
        <f>Source!DG515</f>
        <v>)*2</v>
      </c>
      <c r="I253" s="9">
        <f>Source!AV515</f>
        <v>1</v>
      </c>
      <c r="J253" s="9">
        <f>IF(Source!BA515&lt;&gt; 0, Source!BA515, 1)</f>
        <v>1</v>
      </c>
      <c r="K253" s="21">
        <f>Source!S515</f>
        <v>1277.4000000000001</v>
      </c>
      <c r="L253" s="21"/>
    </row>
    <row r="254" spans="1:22" ht="14.25" x14ac:dyDescent="0.2">
      <c r="A254" s="18"/>
      <c r="B254" s="18"/>
      <c r="C254" s="18"/>
      <c r="D254" s="18" t="s">
        <v>544</v>
      </c>
      <c r="E254" s="19"/>
      <c r="F254" s="9"/>
      <c r="G254" s="21">
        <f>Source!AL515</f>
        <v>4.53</v>
      </c>
      <c r="H254" s="20" t="str">
        <f>Source!DD515</f>
        <v>)*2</v>
      </c>
      <c r="I254" s="9">
        <f>Source!AW515</f>
        <v>1</v>
      </c>
      <c r="J254" s="9">
        <f>IF(Source!BC515&lt;&gt; 0, Source!BC515, 1)</f>
        <v>1</v>
      </c>
      <c r="K254" s="21">
        <f>Source!P515</f>
        <v>27.18</v>
      </c>
      <c r="L254" s="21"/>
    </row>
    <row r="255" spans="1:22" ht="14.25" x14ac:dyDescent="0.2">
      <c r="A255" s="18"/>
      <c r="B255" s="18"/>
      <c r="C255" s="18"/>
      <c r="D255" s="18" t="s">
        <v>537</v>
      </c>
      <c r="E255" s="19" t="s">
        <v>538</v>
      </c>
      <c r="F255" s="9">
        <f>Source!AT515</f>
        <v>70</v>
      </c>
      <c r="G255" s="21"/>
      <c r="H255" s="20"/>
      <c r="I255" s="9"/>
      <c r="J255" s="9"/>
      <c r="K255" s="21">
        <f>SUM(R252:R254)</f>
        <v>894.18</v>
      </c>
      <c r="L255" s="21"/>
    </row>
    <row r="256" spans="1:22" ht="14.25" x14ac:dyDescent="0.2">
      <c r="A256" s="18"/>
      <c r="B256" s="18"/>
      <c r="C256" s="18"/>
      <c r="D256" s="18" t="s">
        <v>539</v>
      </c>
      <c r="E256" s="19" t="s">
        <v>538</v>
      </c>
      <c r="F256" s="9">
        <f>Source!AU515</f>
        <v>10</v>
      </c>
      <c r="G256" s="21"/>
      <c r="H256" s="20"/>
      <c r="I256" s="9"/>
      <c r="J256" s="9"/>
      <c r="K256" s="21">
        <f>SUM(T252:T255)</f>
        <v>127.74</v>
      </c>
      <c r="L256" s="21"/>
    </row>
    <row r="257" spans="1:22" ht="14.25" x14ac:dyDescent="0.2">
      <c r="A257" s="18"/>
      <c r="B257" s="18"/>
      <c r="C257" s="18"/>
      <c r="D257" s="18" t="s">
        <v>540</v>
      </c>
      <c r="E257" s="19" t="s">
        <v>541</v>
      </c>
      <c r="F257" s="9">
        <f>Source!AQ515</f>
        <v>0.3</v>
      </c>
      <c r="G257" s="21"/>
      <c r="H257" s="20" t="str">
        <f>Source!DI515</f>
        <v>)*2</v>
      </c>
      <c r="I257" s="9">
        <f>Source!AV515</f>
        <v>1</v>
      </c>
      <c r="J257" s="9"/>
      <c r="K257" s="21"/>
      <c r="L257" s="21">
        <f>Source!U515</f>
        <v>1.7999999999999998</v>
      </c>
    </row>
    <row r="258" spans="1:22" ht="15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44">
        <f>K253+K254+K255+K256</f>
        <v>2326.5</v>
      </c>
      <c r="K258" s="44"/>
      <c r="L258" s="25">
        <f>IF(Source!I515&lt;&gt;0, ROUND(J258/Source!I515, 2), 0)</f>
        <v>775.5</v>
      </c>
      <c r="P258" s="23">
        <f>J258</f>
        <v>2326.5</v>
      </c>
    </row>
    <row r="259" spans="1:22" ht="42.75" x14ac:dyDescent="0.2">
      <c r="A259" s="18">
        <v>23</v>
      </c>
      <c r="B259" s="18">
        <v>23</v>
      </c>
      <c r="C259" s="18" t="str">
        <f>Source!F517</f>
        <v>1.21-2303-28-1/1</v>
      </c>
      <c r="D259" s="18" t="str">
        <f>Source!G517</f>
        <v>Техническое обслуживание автоматического выключателя до 160 А</v>
      </c>
      <c r="E259" s="19" t="str">
        <f>Source!H517</f>
        <v>шт.</v>
      </c>
      <c r="F259" s="9">
        <f>Source!I517</f>
        <v>5</v>
      </c>
      <c r="G259" s="21"/>
      <c r="H259" s="20"/>
      <c r="I259" s="9"/>
      <c r="J259" s="9"/>
      <c r="K259" s="21"/>
      <c r="L259" s="21"/>
      <c r="Q259">
        <f>ROUND((Source!BZ517/100)*ROUND((Source!AF517*Source!AV517)*Source!I517, 2), 2)</f>
        <v>1490.3</v>
      </c>
      <c r="R259">
        <f>Source!X517</f>
        <v>1490.3</v>
      </c>
      <c r="S259">
        <f>ROUND((Source!CA517/100)*ROUND((Source!AF517*Source!AV517)*Source!I517, 2), 2)</f>
        <v>212.9</v>
      </c>
      <c r="T259">
        <f>Source!Y517</f>
        <v>212.9</v>
      </c>
      <c r="U259">
        <f>ROUND((175/100)*ROUND((Source!AE517*Source!AV517)*Source!I517, 2), 2)</f>
        <v>0</v>
      </c>
      <c r="V259">
        <f>ROUND((108/100)*ROUND(Source!CS517*Source!I517, 2), 2)</f>
        <v>0</v>
      </c>
    </row>
    <row r="260" spans="1:22" x14ac:dyDescent="0.2">
      <c r="D260" s="22" t="str">
        <f>"Объем: "&amp;Source!I517&amp;"=1+"&amp;"4"</f>
        <v>Объем: 5=1+4</v>
      </c>
    </row>
    <row r="261" spans="1:22" ht="14.25" x14ac:dyDescent="0.2">
      <c r="A261" s="18"/>
      <c r="B261" s="18"/>
      <c r="C261" s="18"/>
      <c r="D261" s="18" t="s">
        <v>536</v>
      </c>
      <c r="E261" s="19"/>
      <c r="F261" s="9"/>
      <c r="G261" s="21">
        <f>Source!AO517</f>
        <v>212.9</v>
      </c>
      <c r="H261" s="20" t="str">
        <f>Source!DG517</f>
        <v>)*2</v>
      </c>
      <c r="I261" s="9">
        <f>Source!AV517</f>
        <v>1</v>
      </c>
      <c r="J261" s="9">
        <f>IF(Source!BA517&lt;&gt; 0, Source!BA517, 1)</f>
        <v>1</v>
      </c>
      <c r="K261" s="21">
        <f>Source!S517</f>
        <v>2129</v>
      </c>
      <c r="L261" s="21"/>
    </row>
    <row r="262" spans="1:22" ht="14.25" x14ac:dyDescent="0.2">
      <c r="A262" s="18"/>
      <c r="B262" s="18"/>
      <c r="C262" s="18"/>
      <c r="D262" s="18" t="s">
        <v>544</v>
      </c>
      <c r="E262" s="19"/>
      <c r="F262" s="9"/>
      <c r="G262" s="21">
        <f>Source!AL517</f>
        <v>4.53</v>
      </c>
      <c r="H262" s="20" t="str">
        <f>Source!DD517</f>
        <v>)*2</v>
      </c>
      <c r="I262" s="9">
        <f>Source!AW517</f>
        <v>1</v>
      </c>
      <c r="J262" s="9">
        <f>IF(Source!BC517&lt;&gt; 0, Source!BC517, 1)</f>
        <v>1</v>
      </c>
      <c r="K262" s="21">
        <f>Source!P517</f>
        <v>45.3</v>
      </c>
      <c r="L262" s="21"/>
    </row>
    <row r="263" spans="1:22" ht="14.25" x14ac:dyDescent="0.2">
      <c r="A263" s="18"/>
      <c r="B263" s="18"/>
      <c r="C263" s="18"/>
      <c r="D263" s="18" t="s">
        <v>537</v>
      </c>
      <c r="E263" s="19" t="s">
        <v>538</v>
      </c>
      <c r="F263" s="9">
        <f>Source!AT517</f>
        <v>70</v>
      </c>
      <c r="G263" s="21"/>
      <c r="H263" s="20"/>
      <c r="I263" s="9"/>
      <c r="J263" s="9"/>
      <c r="K263" s="21">
        <f>SUM(R259:R262)</f>
        <v>1490.3</v>
      </c>
      <c r="L263" s="21"/>
    </row>
    <row r="264" spans="1:22" ht="14.25" x14ac:dyDescent="0.2">
      <c r="A264" s="18"/>
      <c r="B264" s="18"/>
      <c r="C264" s="18"/>
      <c r="D264" s="18" t="s">
        <v>539</v>
      </c>
      <c r="E264" s="19" t="s">
        <v>538</v>
      </c>
      <c r="F264" s="9">
        <f>Source!AU517</f>
        <v>10</v>
      </c>
      <c r="G264" s="21"/>
      <c r="H264" s="20"/>
      <c r="I264" s="9"/>
      <c r="J264" s="9"/>
      <c r="K264" s="21">
        <f>SUM(T259:T263)</f>
        <v>212.9</v>
      </c>
      <c r="L264" s="21"/>
    </row>
    <row r="265" spans="1:22" ht="14.25" x14ac:dyDescent="0.2">
      <c r="A265" s="18"/>
      <c r="B265" s="18"/>
      <c r="C265" s="18"/>
      <c r="D265" s="18" t="s">
        <v>540</v>
      </c>
      <c r="E265" s="19" t="s">
        <v>541</v>
      </c>
      <c r="F265" s="9">
        <f>Source!AQ517</f>
        <v>0.3</v>
      </c>
      <c r="G265" s="21"/>
      <c r="H265" s="20" t="str">
        <f>Source!DI517</f>
        <v>)*2</v>
      </c>
      <c r="I265" s="9">
        <f>Source!AV517</f>
        <v>1</v>
      </c>
      <c r="J265" s="9"/>
      <c r="K265" s="21"/>
      <c r="L265" s="21">
        <f>Source!U517</f>
        <v>3</v>
      </c>
    </row>
    <row r="266" spans="1:22" ht="15" x14ac:dyDescent="0.25">
      <c r="A266" s="24"/>
      <c r="B266" s="24"/>
      <c r="C266" s="24"/>
      <c r="D266" s="24"/>
      <c r="E266" s="24"/>
      <c r="F266" s="24"/>
      <c r="G266" s="24"/>
      <c r="H266" s="24"/>
      <c r="I266" s="24"/>
      <c r="J266" s="44">
        <f>K261+K262+K263+K264</f>
        <v>3877.5000000000005</v>
      </c>
      <c r="K266" s="44"/>
      <c r="L266" s="25">
        <f>IF(Source!I517&lt;&gt;0, ROUND(J266/Source!I517, 2), 0)</f>
        <v>775.5</v>
      </c>
      <c r="P266" s="23">
        <f>J266</f>
        <v>3877.5000000000005</v>
      </c>
    </row>
    <row r="267" spans="1:22" ht="42.75" x14ac:dyDescent="0.2">
      <c r="A267" s="18">
        <v>24</v>
      </c>
      <c r="B267" s="18">
        <v>24</v>
      </c>
      <c r="C267" s="18" t="str">
        <f>Source!F519</f>
        <v>1.21-2303-49-1/1</v>
      </c>
      <c r="D267" s="18" t="str">
        <f>Source!G519</f>
        <v>Техническое обслуживание расцепителя напряжения независимого - полугодовое</v>
      </c>
      <c r="E267" s="19" t="str">
        <f>Source!H519</f>
        <v>шт.</v>
      </c>
      <c r="F267" s="9">
        <f>Source!I519</f>
        <v>1</v>
      </c>
      <c r="G267" s="21"/>
      <c r="H267" s="20"/>
      <c r="I267" s="9"/>
      <c r="J267" s="9"/>
      <c r="K267" s="21"/>
      <c r="L267" s="21"/>
      <c r="Q267">
        <f>ROUND((Source!BZ519/100)*ROUND((Source!AF519*Source!AV519)*Source!I519, 2), 2)</f>
        <v>62.97</v>
      </c>
      <c r="R267">
        <f>Source!X519</f>
        <v>62.97</v>
      </c>
      <c r="S267">
        <f>ROUND((Source!CA519/100)*ROUND((Source!AF519*Source!AV519)*Source!I519, 2), 2)</f>
        <v>9</v>
      </c>
      <c r="T267">
        <f>Source!Y519</f>
        <v>9</v>
      </c>
      <c r="U267">
        <f>ROUND((175/100)*ROUND((Source!AE519*Source!AV519)*Source!I519, 2), 2)</f>
        <v>0</v>
      </c>
      <c r="V267">
        <f>ROUND((108/100)*ROUND(Source!CS519*Source!I519, 2), 2)</f>
        <v>0</v>
      </c>
    </row>
    <row r="268" spans="1:22" ht="14.25" x14ac:dyDescent="0.2">
      <c r="A268" s="18"/>
      <c r="B268" s="18"/>
      <c r="C268" s="18"/>
      <c r="D268" s="18" t="s">
        <v>536</v>
      </c>
      <c r="E268" s="19"/>
      <c r="F268" s="9"/>
      <c r="G268" s="21">
        <f>Source!AO519</f>
        <v>89.95</v>
      </c>
      <c r="H268" s="20" t="str">
        <f>Source!DG519</f>
        <v/>
      </c>
      <c r="I268" s="9">
        <f>Source!AV519</f>
        <v>1</v>
      </c>
      <c r="J268" s="9">
        <f>IF(Source!BA519&lt;&gt; 0, Source!BA519, 1)</f>
        <v>1</v>
      </c>
      <c r="K268" s="21">
        <f>Source!S519</f>
        <v>89.95</v>
      </c>
      <c r="L268" s="21"/>
    </row>
    <row r="269" spans="1:22" ht="14.25" x14ac:dyDescent="0.2">
      <c r="A269" s="18"/>
      <c r="B269" s="18"/>
      <c r="C269" s="18"/>
      <c r="D269" s="18" t="s">
        <v>537</v>
      </c>
      <c r="E269" s="19" t="s">
        <v>538</v>
      </c>
      <c r="F269" s="9">
        <f>Source!AT519</f>
        <v>70</v>
      </c>
      <c r="G269" s="21"/>
      <c r="H269" s="20"/>
      <c r="I269" s="9"/>
      <c r="J269" s="9"/>
      <c r="K269" s="21">
        <f>SUM(R267:R268)</f>
        <v>62.97</v>
      </c>
      <c r="L269" s="21"/>
    </row>
    <row r="270" spans="1:22" ht="14.25" x14ac:dyDescent="0.2">
      <c r="A270" s="18"/>
      <c r="B270" s="18"/>
      <c r="C270" s="18"/>
      <c r="D270" s="18" t="s">
        <v>539</v>
      </c>
      <c r="E270" s="19" t="s">
        <v>538</v>
      </c>
      <c r="F270" s="9">
        <f>Source!AU519</f>
        <v>10</v>
      </c>
      <c r="G270" s="21"/>
      <c r="H270" s="20"/>
      <c r="I270" s="9"/>
      <c r="J270" s="9"/>
      <c r="K270" s="21">
        <f>SUM(T267:T269)</f>
        <v>9</v>
      </c>
      <c r="L270" s="21"/>
    </row>
    <row r="271" spans="1:22" ht="14.25" x14ac:dyDescent="0.2">
      <c r="A271" s="18"/>
      <c r="B271" s="18"/>
      <c r="C271" s="18"/>
      <c r="D271" s="18" t="s">
        <v>540</v>
      </c>
      <c r="E271" s="19" t="s">
        <v>541</v>
      </c>
      <c r="F271" s="9">
        <f>Source!AQ519</f>
        <v>0.16</v>
      </c>
      <c r="G271" s="21"/>
      <c r="H271" s="20" t="str">
        <f>Source!DI519</f>
        <v/>
      </c>
      <c r="I271" s="9">
        <f>Source!AV519</f>
        <v>1</v>
      </c>
      <c r="J271" s="9"/>
      <c r="K271" s="21"/>
      <c r="L271" s="21">
        <f>Source!U519</f>
        <v>0.16</v>
      </c>
    </row>
    <row r="272" spans="1:22" ht="15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44">
        <f>K268+K269+K270</f>
        <v>161.92000000000002</v>
      </c>
      <c r="K272" s="44"/>
      <c r="L272" s="25">
        <f>IF(Source!I519&lt;&gt;0, ROUND(J272/Source!I519, 2), 0)</f>
        <v>161.91999999999999</v>
      </c>
      <c r="P272" s="23">
        <f>J272</f>
        <v>161.92000000000002</v>
      </c>
    </row>
    <row r="273" spans="1:22" ht="42.75" x14ac:dyDescent="0.2">
      <c r="A273" s="18">
        <v>25</v>
      </c>
      <c r="B273" s="18">
        <v>25</v>
      </c>
      <c r="C273" s="18" t="str">
        <f>Source!F520</f>
        <v>1.21-2303-28-1/1</v>
      </c>
      <c r="D273" s="18" t="str">
        <f>Source!G520</f>
        <v>Техническое обслуживание автоматического выключателя до 160 А</v>
      </c>
      <c r="E273" s="19" t="str">
        <f>Source!H520</f>
        <v>шт.</v>
      </c>
      <c r="F273" s="9">
        <f>Source!I520</f>
        <v>3</v>
      </c>
      <c r="G273" s="21"/>
      <c r="H273" s="20"/>
      <c r="I273" s="9"/>
      <c r="J273" s="9"/>
      <c r="K273" s="21"/>
      <c r="L273" s="21"/>
      <c r="Q273">
        <f>ROUND((Source!BZ520/100)*ROUND((Source!AF520*Source!AV520)*Source!I520, 2), 2)</f>
        <v>894.18</v>
      </c>
      <c r="R273">
        <f>Source!X520</f>
        <v>894.18</v>
      </c>
      <c r="S273">
        <f>ROUND((Source!CA520/100)*ROUND((Source!AF520*Source!AV520)*Source!I520, 2), 2)</f>
        <v>127.74</v>
      </c>
      <c r="T273">
        <f>Source!Y520</f>
        <v>127.74</v>
      </c>
      <c r="U273">
        <f>ROUND((175/100)*ROUND((Source!AE520*Source!AV520)*Source!I520, 2), 2)</f>
        <v>0</v>
      </c>
      <c r="V273">
        <f>ROUND((108/100)*ROUND(Source!CS520*Source!I520, 2), 2)</f>
        <v>0</v>
      </c>
    </row>
    <row r="274" spans="1:22" ht="14.25" x14ac:dyDescent="0.2">
      <c r="A274" s="18"/>
      <c r="B274" s="18"/>
      <c r="C274" s="18"/>
      <c r="D274" s="18" t="s">
        <v>536</v>
      </c>
      <c r="E274" s="19"/>
      <c r="F274" s="9"/>
      <c r="G274" s="21">
        <f>Source!AO520</f>
        <v>212.9</v>
      </c>
      <c r="H274" s="20" t="str">
        <f>Source!DG520</f>
        <v>)*2</v>
      </c>
      <c r="I274" s="9">
        <f>Source!AV520</f>
        <v>1</v>
      </c>
      <c r="J274" s="9">
        <f>IF(Source!BA520&lt;&gt; 0, Source!BA520, 1)</f>
        <v>1</v>
      </c>
      <c r="K274" s="21">
        <f>Source!S520</f>
        <v>1277.4000000000001</v>
      </c>
      <c r="L274" s="21"/>
    </row>
    <row r="275" spans="1:22" ht="14.25" x14ac:dyDescent="0.2">
      <c r="A275" s="18"/>
      <c r="B275" s="18"/>
      <c r="C275" s="18"/>
      <c r="D275" s="18" t="s">
        <v>544</v>
      </c>
      <c r="E275" s="19"/>
      <c r="F275" s="9"/>
      <c r="G275" s="21">
        <f>Source!AL520</f>
        <v>4.53</v>
      </c>
      <c r="H275" s="20" t="str">
        <f>Source!DD520</f>
        <v>)*2</v>
      </c>
      <c r="I275" s="9">
        <f>Source!AW520</f>
        <v>1</v>
      </c>
      <c r="J275" s="9">
        <f>IF(Source!BC520&lt;&gt; 0, Source!BC520, 1)</f>
        <v>1</v>
      </c>
      <c r="K275" s="21">
        <f>Source!P520</f>
        <v>27.18</v>
      </c>
      <c r="L275" s="21"/>
    </row>
    <row r="276" spans="1:22" ht="14.25" x14ac:dyDescent="0.2">
      <c r="A276" s="18"/>
      <c r="B276" s="18"/>
      <c r="C276" s="18"/>
      <c r="D276" s="18" t="s">
        <v>537</v>
      </c>
      <c r="E276" s="19" t="s">
        <v>538</v>
      </c>
      <c r="F276" s="9">
        <f>Source!AT520</f>
        <v>70</v>
      </c>
      <c r="G276" s="21"/>
      <c r="H276" s="20"/>
      <c r="I276" s="9"/>
      <c r="J276" s="9"/>
      <c r="K276" s="21">
        <f>SUM(R273:R275)</f>
        <v>894.18</v>
      </c>
      <c r="L276" s="21"/>
    </row>
    <row r="277" spans="1:22" ht="14.25" x14ac:dyDescent="0.2">
      <c r="A277" s="18"/>
      <c r="B277" s="18"/>
      <c r="C277" s="18"/>
      <c r="D277" s="18" t="s">
        <v>539</v>
      </c>
      <c r="E277" s="19" t="s">
        <v>538</v>
      </c>
      <c r="F277" s="9">
        <f>Source!AU520</f>
        <v>10</v>
      </c>
      <c r="G277" s="21"/>
      <c r="H277" s="20"/>
      <c r="I277" s="9"/>
      <c r="J277" s="9"/>
      <c r="K277" s="21">
        <f>SUM(T273:T276)</f>
        <v>127.74</v>
      </c>
      <c r="L277" s="21"/>
    </row>
    <row r="278" spans="1:22" ht="14.25" x14ac:dyDescent="0.2">
      <c r="A278" s="18"/>
      <c r="B278" s="18"/>
      <c r="C278" s="18"/>
      <c r="D278" s="18" t="s">
        <v>540</v>
      </c>
      <c r="E278" s="19" t="s">
        <v>541</v>
      </c>
      <c r="F278" s="9">
        <f>Source!AQ520</f>
        <v>0.3</v>
      </c>
      <c r="G278" s="21"/>
      <c r="H278" s="20" t="str">
        <f>Source!DI520</f>
        <v>)*2</v>
      </c>
      <c r="I278" s="9">
        <f>Source!AV520</f>
        <v>1</v>
      </c>
      <c r="J278" s="9"/>
      <c r="K278" s="21"/>
      <c r="L278" s="21">
        <f>Source!U520</f>
        <v>1.7999999999999998</v>
      </c>
    </row>
    <row r="279" spans="1:22" ht="15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44">
        <f>K274+K275+K276+K277</f>
        <v>2326.5</v>
      </c>
      <c r="K279" s="44"/>
      <c r="L279" s="25">
        <f>IF(Source!I520&lt;&gt;0, ROUND(J279/Source!I520, 2), 0)</f>
        <v>775.5</v>
      </c>
      <c r="P279" s="23">
        <f>J279</f>
        <v>2326.5</v>
      </c>
    </row>
    <row r="280" spans="1:22" ht="42.75" x14ac:dyDescent="0.2">
      <c r="A280" s="18">
        <v>26</v>
      </c>
      <c r="B280" s="18">
        <v>26</v>
      </c>
      <c r="C280" s="18" t="str">
        <f>Source!F522</f>
        <v>1.21-2303-28-1/1</v>
      </c>
      <c r="D280" s="18" t="str">
        <f>Source!G522</f>
        <v>Техническое обслуживание автоматического выключателя до 160 А</v>
      </c>
      <c r="E280" s="19" t="str">
        <f>Source!H522</f>
        <v>шт.</v>
      </c>
      <c r="F280" s="9">
        <f>Source!I522</f>
        <v>4</v>
      </c>
      <c r="G280" s="21"/>
      <c r="H280" s="20"/>
      <c r="I280" s="9"/>
      <c r="J280" s="9"/>
      <c r="K280" s="21"/>
      <c r="L280" s="21"/>
      <c r="Q280">
        <f>ROUND((Source!BZ522/100)*ROUND((Source!AF522*Source!AV522)*Source!I522, 2), 2)</f>
        <v>1192.24</v>
      </c>
      <c r="R280">
        <f>Source!X522</f>
        <v>1192.24</v>
      </c>
      <c r="S280">
        <f>ROUND((Source!CA522/100)*ROUND((Source!AF522*Source!AV522)*Source!I522, 2), 2)</f>
        <v>170.32</v>
      </c>
      <c r="T280">
        <f>Source!Y522</f>
        <v>170.32</v>
      </c>
      <c r="U280">
        <f>ROUND((175/100)*ROUND((Source!AE522*Source!AV522)*Source!I522, 2), 2)</f>
        <v>0</v>
      </c>
      <c r="V280">
        <f>ROUND((108/100)*ROUND(Source!CS522*Source!I522, 2), 2)</f>
        <v>0</v>
      </c>
    </row>
    <row r="281" spans="1:22" x14ac:dyDescent="0.2">
      <c r="D281" s="22" t="str">
        <f>"Объем: "&amp;Source!I522&amp;"=1+"&amp;"3"</f>
        <v>Объем: 4=1+3</v>
      </c>
    </row>
    <row r="282" spans="1:22" ht="14.25" x14ac:dyDescent="0.2">
      <c r="A282" s="18"/>
      <c r="B282" s="18"/>
      <c r="C282" s="18"/>
      <c r="D282" s="18" t="s">
        <v>536</v>
      </c>
      <c r="E282" s="19"/>
      <c r="F282" s="9"/>
      <c r="G282" s="21">
        <f>Source!AO522</f>
        <v>212.9</v>
      </c>
      <c r="H282" s="20" t="str">
        <f>Source!DG522</f>
        <v>)*2</v>
      </c>
      <c r="I282" s="9">
        <f>Source!AV522</f>
        <v>1</v>
      </c>
      <c r="J282" s="9">
        <f>IF(Source!BA522&lt;&gt; 0, Source!BA522, 1)</f>
        <v>1</v>
      </c>
      <c r="K282" s="21">
        <f>Source!S522</f>
        <v>1703.2</v>
      </c>
      <c r="L282" s="21"/>
    </row>
    <row r="283" spans="1:22" ht="14.25" x14ac:dyDescent="0.2">
      <c r="A283" s="18"/>
      <c r="B283" s="18"/>
      <c r="C283" s="18"/>
      <c r="D283" s="18" t="s">
        <v>544</v>
      </c>
      <c r="E283" s="19"/>
      <c r="F283" s="9"/>
      <c r="G283" s="21">
        <f>Source!AL522</f>
        <v>4.53</v>
      </c>
      <c r="H283" s="20" t="str">
        <f>Source!DD522</f>
        <v>)*2</v>
      </c>
      <c r="I283" s="9">
        <f>Source!AW522</f>
        <v>1</v>
      </c>
      <c r="J283" s="9">
        <f>IF(Source!BC522&lt;&gt; 0, Source!BC522, 1)</f>
        <v>1</v>
      </c>
      <c r="K283" s="21">
        <f>Source!P522</f>
        <v>36.24</v>
      </c>
      <c r="L283" s="21"/>
    </row>
    <row r="284" spans="1:22" ht="14.25" x14ac:dyDescent="0.2">
      <c r="A284" s="18"/>
      <c r="B284" s="18"/>
      <c r="C284" s="18"/>
      <c r="D284" s="18" t="s">
        <v>537</v>
      </c>
      <c r="E284" s="19" t="s">
        <v>538</v>
      </c>
      <c r="F284" s="9">
        <f>Source!AT522</f>
        <v>70</v>
      </c>
      <c r="G284" s="21"/>
      <c r="H284" s="20"/>
      <c r="I284" s="9"/>
      <c r="J284" s="9"/>
      <c r="K284" s="21">
        <f>SUM(R280:R283)</f>
        <v>1192.24</v>
      </c>
      <c r="L284" s="21"/>
    </row>
    <row r="285" spans="1:22" ht="14.25" x14ac:dyDescent="0.2">
      <c r="A285" s="18"/>
      <c r="B285" s="18"/>
      <c r="C285" s="18"/>
      <c r="D285" s="18" t="s">
        <v>539</v>
      </c>
      <c r="E285" s="19" t="s">
        <v>538</v>
      </c>
      <c r="F285" s="9">
        <f>Source!AU522</f>
        <v>10</v>
      </c>
      <c r="G285" s="21"/>
      <c r="H285" s="20"/>
      <c r="I285" s="9"/>
      <c r="J285" s="9"/>
      <c r="K285" s="21">
        <f>SUM(T280:T284)</f>
        <v>170.32</v>
      </c>
      <c r="L285" s="21"/>
    </row>
    <row r="286" spans="1:22" ht="14.25" x14ac:dyDescent="0.2">
      <c r="A286" s="18"/>
      <c r="B286" s="18"/>
      <c r="C286" s="18"/>
      <c r="D286" s="18" t="s">
        <v>540</v>
      </c>
      <c r="E286" s="19" t="s">
        <v>541</v>
      </c>
      <c r="F286" s="9">
        <f>Source!AQ522</f>
        <v>0.3</v>
      </c>
      <c r="G286" s="21"/>
      <c r="H286" s="20" t="str">
        <f>Source!DI522</f>
        <v>)*2</v>
      </c>
      <c r="I286" s="9">
        <f>Source!AV522</f>
        <v>1</v>
      </c>
      <c r="J286" s="9"/>
      <c r="K286" s="21"/>
      <c r="L286" s="21">
        <f>Source!U522</f>
        <v>2.4</v>
      </c>
    </row>
    <row r="287" spans="1:22" ht="15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44">
        <f>K282+K283+K284+K285</f>
        <v>3102.0000000000005</v>
      </c>
      <c r="K287" s="44"/>
      <c r="L287" s="25">
        <f>IF(Source!I522&lt;&gt;0, ROUND(J287/Source!I522, 2), 0)</f>
        <v>775.5</v>
      </c>
      <c r="P287" s="23">
        <f>J287</f>
        <v>3102.0000000000005</v>
      </c>
    </row>
    <row r="288" spans="1:22" ht="42.75" x14ac:dyDescent="0.2">
      <c r="A288" s="18">
        <v>27</v>
      </c>
      <c r="B288" s="18">
        <v>27</v>
      </c>
      <c r="C288" s="18" t="str">
        <f>Source!F524</f>
        <v>1.21-2303-49-1/1</v>
      </c>
      <c r="D288" s="18" t="str">
        <f>Source!G524</f>
        <v>Техническое обслуживание расцепителя напряжения независимого - полугодовое</v>
      </c>
      <c r="E288" s="19" t="str">
        <f>Source!H524</f>
        <v>шт.</v>
      </c>
      <c r="F288" s="9">
        <f>Source!I524</f>
        <v>1</v>
      </c>
      <c r="G288" s="21"/>
      <c r="H288" s="20"/>
      <c r="I288" s="9"/>
      <c r="J288" s="9"/>
      <c r="K288" s="21"/>
      <c r="L288" s="21"/>
      <c r="Q288">
        <f>ROUND((Source!BZ524/100)*ROUND((Source!AF524*Source!AV524)*Source!I524, 2), 2)</f>
        <v>62.97</v>
      </c>
      <c r="R288">
        <f>Source!X524</f>
        <v>62.97</v>
      </c>
      <c r="S288">
        <f>ROUND((Source!CA524/100)*ROUND((Source!AF524*Source!AV524)*Source!I524, 2), 2)</f>
        <v>9</v>
      </c>
      <c r="T288">
        <f>Source!Y524</f>
        <v>9</v>
      </c>
      <c r="U288">
        <f>ROUND((175/100)*ROUND((Source!AE524*Source!AV524)*Source!I524, 2), 2)</f>
        <v>0</v>
      </c>
      <c r="V288">
        <f>ROUND((108/100)*ROUND(Source!CS524*Source!I524, 2), 2)</f>
        <v>0</v>
      </c>
    </row>
    <row r="289" spans="1:22" ht="14.25" x14ac:dyDescent="0.2">
      <c r="A289" s="18"/>
      <c r="B289" s="18"/>
      <c r="C289" s="18"/>
      <c r="D289" s="18" t="s">
        <v>536</v>
      </c>
      <c r="E289" s="19"/>
      <c r="F289" s="9"/>
      <c r="G289" s="21">
        <f>Source!AO524</f>
        <v>89.95</v>
      </c>
      <c r="H289" s="20" t="str">
        <f>Source!DG524</f>
        <v/>
      </c>
      <c r="I289" s="9">
        <f>Source!AV524</f>
        <v>1</v>
      </c>
      <c r="J289" s="9">
        <f>IF(Source!BA524&lt;&gt; 0, Source!BA524, 1)</f>
        <v>1</v>
      </c>
      <c r="K289" s="21">
        <f>Source!S524</f>
        <v>89.95</v>
      </c>
      <c r="L289" s="21"/>
    </row>
    <row r="290" spans="1:22" ht="14.25" x14ac:dyDescent="0.2">
      <c r="A290" s="18"/>
      <c r="B290" s="18"/>
      <c r="C290" s="18"/>
      <c r="D290" s="18" t="s">
        <v>537</v>
      </c>
      <c r="E290" s="19" t="s">
        <v>538</v>
      </c>
      <c r="F290" s="9">
        <f>Source!AT524</f>
        <v>70</v>
      </c>
      <c r="G290" s="21"/>
      <c r="H290" s="20"/>
      <c r="I290" s="9"/>
      <c r="J290" s="9"/>
      <c r="K290" s="21">
        <f>SUM(R288:R289)</f>
        <v>62.97</v>
      </c>
      <c r="L290" s="21"/>
    </row>
    <row r="291" spans="1:22" ht="14.25" x14ac:dyDescent="0.2">
      <c r="A291" s="18"/>
      <c r="B291" s="18"/>
      <c r="C291" s="18"/>
      <c r="D291" s="18" t="s">
        <v>539</v>
      </c>
      <c r="E291" s="19" t="s">
        <v>538</v>
      </c>
      <c r="F291" s="9">
        <f>Source!AU524</f>
        <v>10</v>
      </c>
      <c r="G291" s="21"/>
      <c r="H291" s="20"/>
      <c r="I291" s="9"/>
      <c r="J291" s="9"/>
      <c r="K291" s="21">
        <f>SUM(T288:T290)</f>
        <v>9</v>
      </c>
      <c r="L291" s="21"/>
    </row>
    <row r="292" spans="1:22" ht="14.25" x14ac:dyDescent="0.2">
      <c r="A292" s="18"/>
      <c r="B292" s="18"/>
      <c r="C292" s="18"/>
      <c r="D292" s="18" t="s">
        <v>540</v>
      </c>
      <c r="E292" s="19" t="s">
        <v>541</v>
      </c>
      <c r="F292" s="9">
        <f>Source!AQ524</f>
        <v>0.16</v>
      </c>
      <c r="G292" s="21"/>
      <c r="H292" s="20" t="str">
        <f>Source!DI524</f>
        <v/>
      </c>
      <c r="I292" s="9">
        <f>Source!AV524</f>
        <v>1</v>
      </c>
      <c r="J292" s="9"/>
      <c r="K292" s="21"/>
      <c r="L292" s="21">
        <f>Source!U524</f>
        <v>0.16</v>
      </c>
    </row>
    <row r="293" spans="1:22" ht="15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44">
        <f>K289+K290+K291</f>
        <v>161.92000000000002</v>
      </c>
      <c r="K293" s="44"/>
      <c r="L293" s="25">
        <f>IF(Source!I524&lt;&gt;0, ROUND(J293/Source!I524, 2), 0)</f>
        <v>161.91999999999999</v>
      </c>
      <c r="P293" s="23">
        <f>J293</f>
        <v>161.92000000000002</v>
      </c>
    </row>
    <row r="294" spans="1:22" ht="42.75" x14ac:dyDescent="0.2">
      <c r="A294" s="18">
        <v>28</v>
      </c>
      <c r="B294" s="18">
        <v>28</v>
      </c>
      <c r="C294" s="18" t="str">
        <f>Source!F525</f>
        <v>1.21-2303-28-1/1</v>
      </c>
      <c r="D294" s="18" t="str">
        <f>Source!G525</f>
        <v>Техническое обслуживание автоматического выключателя до 160 А</v>
      </c>
      <c r="E294" s="19" t="str">
        <f>Source!H525</f>
        <v>шт.</v>
      </c>
      <c r="F294" s="9">
        <f>Source!I525</f>
        <v>2</v>
      </c>
      <c r="G294" s="21"/>
      <c r="H294" s="20"/>
      <c r="I294" s="9"/>
      <c r="J294" s="9"/>
      <c r="K294" s="21"/>
      <c r="L294" s="21"/>
      <c r="Q294">
        <f>ROUND((Source!BZ525/100)*ROUND((Source!AF525*Source!AV525)*Source!I525, 2), 2)</f>
        <v>596.12</v>
      </c>
      <c r="R294">
        <f>Source!X525</f>
        <v>596.12</v>
      </c>
      <c r="S294">
        <f>ROUND((Source!CA525/100)*ROUND((Source!AF525*Source!AV525)*Source!I525, 2), 2)</f>
        <v>85.16</v>
      </c>
      <c r="T294">
        <f>Source!Y525</f>
        <v>85.16</v>
      </c>
      <c r="U294">
        <f>ROUND((175/100)*ROUND((Source!AE525*Source!AV525)*Source!I525, 2), 2)</f>
        <v>0</v>
      </c>
      <c r="V294">
        <f>ROUND((108/100)*ROUND(Source!CS525*Source!I525, 2), 2)</f>
        <v>0</v>
      </c>
    </row>
    <row r="295" spans="1:22" ht="14.25" x14ac:dyDescent="0.2">
      <c r="A295" s="18"/>
      <c r="B295" s="18"/>
      <c r="C295" s="18"/>
      <c r="D295" s="18" t="s">
        <v>536</v>
      </c>
      <c r="E295" s="19"/>
      <c r="F295" s="9"/>
      <c r="G295" s="21">
        <f>Source!AO525</f>
        <v>212.9</v>
      </c>
      <c r="H295" s="20" t="str">
        <f>Source!DG525</f>
        <v>)*2</v>
      </c>
      <c r="I295" s="9">
        <f>Source!AV525</f>
        <v>1</v>
      </c>
      <c r="J295" s="9">
        <f>IF(Source!BA525&lt;&gt; 0, Source!BA525, 1)</f>
        <v>1</v>
      </c>
      <c r="K295" s="21">
        <f>Source!S525</f>
        <v>851.6</v>
      </c>
      <c r="L295" s="21"/>
    </row>
    <row r="296" spans="1:22" ht="14.25" x14ac:dyDescent="0.2">
      <c r="A296" s="18"/>
      <c r="B296" s="18"/>
      <c r="C296" s="18"/>
      <c r="D296" s="18" t="s">
        <v>544</v>
      </c>
      <c r="E296" s="19"/>
      <c r="F296" s="9"/>
      <c r="G296" s="21">
        <f>Source!AL525</f>
        <v>4.53</v>
      </c>
      <c r="H296" s="20" t="str">
        <f>Source!DD525</f>
        <v>)*2</v>
      </c>
      <c r="I296" s="9">
        <f>Source!AW525</f>
        <v>1</v>
      </c>
      <c r="J296" s="9">
        <f>IF(Source!BC525&lt;&gt; 0, Source!BC525, 1)</f>
        <v>1</v>
      </c>
      <c r="K296" s="21">
        <f>Source!P525</f>
        <v>18.12</v>
      </c>
      <c r="L296" s="21"/>
    </row>
    <row r="297" spans="1:22" ht="14.25" x14ac:dyDescent="0.2">
      <c r="A297" s="18"/>
      <c r="B297" s="18"/>
      <c r="C297" s="18"/>
      <c r="D297" s="18" t="s">
        <v>537</v>
      </c>
      <c r="E297" s="19" t="s">
        <v>538</v>
      </c>
      <c r="F297" s="9">
        <f>Source!AT525</f>
        <v>70</v>
      </c>
      <c r="G297" s="21"/>
      <c r="H297" s="20"/>
      <c r="I297" s="9"/>
      <c r="J297" s="9"/>
      <c r="K297" s="21">
        <f>SUM(R294:R296)</f>
        <v>596.12</v>
      </c>
      <c r="L297" s="21"/>
    </row>
    <row r="298" spans="1:22" ht="14.25" x14ac:dyDescent="0.2">
      <c r="A298" s="18"/>
      <c r="B298" s="18"/>
      <c r="C298" s="18"/>
      <c r="D298" s="18" t="s">
        <v>539</v>
      </c>
      <c r="E298" s="19" t="s">
        <v>538</v>
      </c>
      <c r="F298" s="9">
        <f>Source!AU525</f>
        <v>10</v>
      </c>
      <c r="G298" s="21"/>
      <c r="H298" s="20"/>
      <c r="I298" s="9"/>
      <c r="J298" s="9"/>
      <c r="K298" s="21">
        <f>SUM(T294:T297)</f>
        <v>85.16</v>
      </c>
      <c r="L298" s="21"/>
    </row>
    <row r="299" spans="1:22" ht="14.25" x14ac:dyDescent="0.2">
      <c r="A299" s="18"/>
      <c r="B299" s="18"/>
      <c r="C299" s="18"/>
      <c r="D299" s="18" t="s">
        <v>540</v>
      </c>
      <c r="E299" s="19" t="s">
        <v>541</v>
      </c>
      <c r="F299" s="9">
        <f>Source!AQ525</f>
        <v>0.3</v>
      </c>
      <c r="G299" s="21"/>
      <c r="H299" s="20" t="str">
        <f>Source!DI525</f>
        <v>)*2</v>
      </c>
      <c r="I299" s="9">
        <f>Source!AV525</f>
        <v>1</v>
      </c>
      <c r="J299" s="9"/>
      <c r="K299" s="21"/>
      <c r="L299" s="21">
        <f>Source!U525</f>
        <v>1.2</v>
      </c>
    </row>
    <row r="300" spans="1:22" ht="15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44">
        <f>K295+K296+K297+K298</f>
        <v>1551.0000000000002</v>
      </c>
      <c r="K300" s="44"/>
      <c r="L300" s="25">
        <f>IF(Source!I525&lt;&gt;0, ROUND(J300/Source!I525, 2), 0)</f>
        <v>775.5</v>
      </c>
      <c r="P300" s="23">
        <f>J300</f>
        <v>1551.0000000000002</v>
      </c>
    </row>
    <row r="301" spans="1:22" ht="42.75" x14ac:dyDescent="0.2">
      <c r="A301" s="18">
        <v>29</v>
      </c>
      <c r="B301" s="18">
        <v>29</v>
      </c>
      <c r="C301" s="18" t="str">
        <f>Source!F527</f>
        <v>1.21-2303-28-1/1</v>
      </c>
      <c r="D301" s="18" t="str">
        <f>Source!G527</f>
        <v>Техническое обслуживание автоматического выключателя до 160 А</v>
      </c>
      <c r="E301" s="19" t="str">
        <f>Source!H527</f>
        <v>шт.</v>
      </c>
      <c r="F301" s="9">
        <f>Source!I527</f>
        <v>5</v>
      </c>
      <c r="G301" s="21"/>
      <c r="H301" s="20"/>
      <c r="I301" s="9"/>
      <c r="J301" s="9"/>
      <c r="K301" s="21"/>
      <c r="L301" s="21"/>
      <c r="Q301">
        <f>ROUND((Source!BZ527/100)*ROUND((Source!AF527*Source!AV527)*Source!I527, 2), 2)</f>
        <v>1490.3</v>
      </c>
      <c r="R301">
        <f>Source!X527</f>
        <v>1490.3</v>
      </c>
      <c r="S301">
        <f>ROUND((Source!CA527/100)*ROUND((Source!AF527*Source!AV527)*Source!I527, 2), 2)</f>
        <v>212.9</v>
      </c>
      <c r="T301">
        <f>Source!Y527</f>
        <v>212.9</v>
      </c>
      <c r="U301">
        <f>ROUND((175/100)*ROUND((Source!AE527*Source!AV527)*Source!I527, 2), 2)</f>
        <v>0</v>
      </c>
      <c r="V301">
        <f>ROUND((108/100)*ROUND(Source!CS527*Source!I527, 2), 2)</f>
        <v>0</v>
      </c>
    </row>
    <row r="302" spans="1:22" x14ac:dyDescent="0.2">
      <c r="D302" s="22" t="str">
        <f>"Объем: "&amp;Source!I527&amp;"=1+"&amp;"4"</f>
        <v>Объем: 5=1+4</v>
      </c>
    </row>
    <row r="303" spans="1:22" ht="14.25" x14ac:dyDescent="0.2">
      <c r="A303" s="18"/>
      <c r="B303" s="18"/>
      <c r="C303" s="18"/>
      <c r="D303" s="18" t="s">
        <v>536</v>
      </c>
      <c r="E303" s="19"/>
      <c r="F303" s="9"/>
      <c r="G303" s="21">
        <f>Source!AO527</f>
        <v>212.9</v>
      </c>
      <c r="H303" s="20" t="str">
        <f>Source!DG527</f>
        <v>)*2</v>
      </c>
      <c r="I303" s="9">
        <f>Source!AV527</f>
        <v>1</v>
      </c>
      <c r="J303" s="9">
        <f>IF(Source!BA527&lt;&gt; 0, Source!BA527, 1)</f>
        <v>1</v>
      </c>
      <c r="K303" s="21">
        <f>Source!S527</f>
        <v>2129</v>
      </c>
      <c r="L303" s="21"/>
    </row>
    <row r="304" spans="1:22" ht="14.25" x14ac:dyDescent="0.2">
      <c r="A304" s="18"/>
      <c r="B304" s="18"/>
      <c r="C304" s="18"/>
      <c r="D304" s="18" t="s">
        <v>544</v>
      </c>
      <c r="E304" s="19"/>
      <c r="F304" s="9"/>
      <c r="G304" s="21">
        <f>Source!AL527</f>
        <v>4.53</v>
      </c>
      <c r="H304" s="20" t="str">
        <f>Source!DD527</f>
        <v>)*2</v>
      </c>
      <c r="I304" s="9">
        <f>Source!AW527</f>
        <v>1</v>
      </c>
      <c r="J304" s="9">
        <f>IF(Source!BC527&lt;&gt; 0, Source!BC527, 1)</f>
        <v>1</v>
      </c>
      <c r="K304" s="21">
        <f>Source!P527</f>
        <v>45.3</v>
      </c>
      <c r="L304" s="21"/>
    </row>
    <row r="305" spans="1:22" ht="14.25" x14ac:dyDescent="0.2">
      <c r="A305" s="18"/>
      <c r="B305" s="18"/>
      <c r="C305" s="18"/>
      <c r="D305" s="18" t="s">
        <v>537</v>
      </c>
      <c r="E305" s="19" t="s">
        <v>538</v>
      </c>
      <c r="F305" s="9">
        <f>Source!AT527</f>
        <v>70</v>
      </c>
      <c r="G305" s="21"/>
      <c r="H305" s="20"/>
      <c r="I305" s="9"/>
      <c r="J305" s="9"/>
      <c r="K305" s="21">
        <f>SUM(R301:R304)</f>
        <v>1490.3</v>
      </c>
      <c r="L305" s="21"/>
    </row>
    <row r="306" spans="1:22" ht="14.25" x14ac:dyDescent="0.2">
      <c r="A306" s="18"/>
      <c r="B306" s="18"/>
      <c r="C306" s="18"/>
      <c r="D306" s="18" t="s">
        <v>539</v>
      </c>
      <c r="E306" s="19" t="s">
        <v>538</v>
      </c>
      <c r="F306" s="9">
        <f>Source!AU527</f>
        <v>10</v>
      </c>
      <c r="G306" s="21"/>
      <c r="H306" s="20"/>
      <c r="I306" s="9"/>
      <c r="J306" s="9"/>
      <c r="K306" s="21">
        <f>SUM(T301:T305)</f>
        <v>212.9</v>
      </c>
      <c r="L306" s="21"/>
    </row>
    <row r="307" spans="1:22" ht="14.25" x14ac:dyDescent="0.2">
      <c r="A307" s="18"/>
      <c r="B307" s="18"/>
      <c r="C307" s="18"/>
      <c r="D307" s="18" t="s">
        <v>540</v>
      </c>
      <c r="E307" s="19" t="s">
        <v>541</v>
      </c>
      <c r="F307" s="9">
        <f>Source!AQ527</f>
        <v>0.3</v>
      </c>
      <c r="G307" s="21"/>
      <c r="H307" s="20" t="str">
        <f>Source!DI527</f>
        <v>)*2</v>
      </c>
      <c r="I307" s="9">
        <f>Source!AV527</f>
        <v>1</v>
      </c>
      <c r="J307" s="9"/>
      <c r="K307" s="21"/>
      <c r="L307" s="21">
        <f>Source!U527</f>
        <v>3</v>
      </c>
    </row>
    <row r="308" spans="1:22" ht="15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44">
        <f>K303+K304+K305+K306</f>
        <v>3877.5000000000005</v>
      </c>
      <c r="K308" s="44"/>
      <c r="L308" s="25">
        <f>IF(Source!I527&lt;&gt;0, ROUND(J308/Source!I527, 2), 0)</f>
        <v>775.5</v>
      </c>
      <c r="P308" s="23">
        <f>J308</f>
        <v>3877.5000000000005</v>
      </c>
    </row>
    <row r="309" spans="1:22" ht="42.75" x14ac:dyDescent="0.2">
      <c r="A309" s="18">
        <v>30</v>
      </c>
      <c r="B309" s="18">
        <v>30</v>
      </c>
      <c r="C309" s="18" t="str">
        <f>Source!F529</f>
        <v>1.21-2303-49-1/1</v>
      </c>
      <c r="D309" s="18" t="str">
        <f>Source!G529</f>
        <v>Техническое обслуживание расцепителя напряжения независимого - полугодовое</v>
      </c>
      <c r="E309" s="19" t="str">
        <f>Source!H529</f>
        <v>шт.</v>
      </c>
      <c r="F309" s="9">
        <f>Source!I529</f>
        <v>2</v>
      </c>
      <c r="G309" s="21"/>
      <c r="H309" s="20"/>
      <c r="I309" s="9"/>
      <c r="J309" s="9"/>
      <c r="K309" s="21"/>
      <c r="L309" s="21"/>
      <c r="Q309">
        <f>ROUND((Source!BZ529/100)*ROUND((Source!AF529*Source!AV529)*Source!I529, 2), 2)</f>
        <v>125.93</v>
      </c>
      <c r="R309">
        <f>Source!X529</f>
        <v>125.93</v>
      </c>
      <c r="S309">
        <f>ROUND((Source!CA529/100)*ROUND((Source!AF529*Source!AV529)*Source!I529, 2), 2)</f>
        <v>17.989999999999998</v>
      </c>
      <c r="T309">
        <f>Source!Y529</f>
        <v>17.989999999999998</v>
      </c>
      <c r="U309">
        <f>ROUND((175/100)*ROUND((Source!AE529*Source!AV529)*Source!I529, 2), 2)</f>
        <v>0</v>
      </c>
      <c r="V309">
        <f>ROUND((108/100)*ROUND(Source!CS529*Source!I529, 2), 2)</f>
        <v>0</v>
      </c>
    </row>
    <row r="310" spans="1:22" ht="14.25" x14ac:dyDescent="0.2">
      <c r="A310" s="18"/>
      <c r="B310" s="18"/>
      <c r="C310" s="18"/>
      <c r="D310" s="18" t="s">
        <v>536</v>
      </c>
      <c r="E310" s="19"/>
      <c r="F310" s="9"/>
      <c r="G310" s="21">
        <f>Source!AO529</f>
        <v>89.95</v>
      </c>
      <c r="H310" s="20" t="str">
        <f>Source!DG529</f>
        <v/>
      </c>
      <c r="I310" s="9">
        <f>Source!AV529</f>
        <v>1</v>
      </c>
      <c r="J310" s="9">
        <f>IF(Source!BA529&lt;&gt; 0, Source!BA529, 1)</f>
        <v>1</v>
      </c>
      <c r="K310" s="21">
        <f>Source!S529</f>
        <v>179.9</v>
      </c>
      <c r="L310" s="21"/>
    </row>
    <row r="311" spans="1:22" ht="14.25" x14ac:dyDescent="0.2">
      <c r="A311" s="18"/>
      <c r="B311" s="18"/>
      <c r="C311" s="18"/>
      <c r="D311" s="18" t="s">
        <v>537</v>
      </c>
      <c r="E311" s="19" t="s">
        <v>538</v>
      </c>
      <c r="F311" s="9">
        <f>Source!AT529</f>
        <v>70</v>
      </c>
      <c r="G311" s="21"/>
      <c r="H311" s="20"/>
      <c r="I311" s="9"/>
      <c r="J311" s="9"/>
      <c r="K311" s="21">
        <f>SUM(R309:R310)</f>
        <v>125.93</v>
      </c>
      <c r="L311" s="21"/>
    </row>
    <row r="312" spans="1:22" ht="14.25" x14ac:dyDescent="0.2">
      <c r="A312" s="18"/>
      <c r="B312" s="18"/>
      <c r="C312" s="18"/>
      <c r="D312" s="18" t="s">
        <v>539</v>
      </c>
      <c r="E312" s="19" t="s">
        <v>538</v>
      </c>
      <c r="F312" s="9">
        <f>Source!AU529</f>
        <v>10</v>
      </c>
      <c r="G312" s="21"/>
      <c r="H312" s="20"/>
      <c r="I312" s="9"/>
      <c r="J312" s="9"/>
      <c r="K312" s="21">
        <f>SUM(T309:T311)</f>
        <v>17.989999999999998</v>
      </c>
      <c r="L312" s="21"/>
    </row>
    <row r="313" spans="1:22" ht="14.25" x14ac:dyDescent="0.2">
      <c r="A313" s="18"/>
      <c r="B313" s="18"/>
      <c r="C313" s="18"/>
      <c r="D313" s="18" t="s">
        <v>540</v>
      </c>
      <c r="E313" s="19" t="s">
        <v>541</v>
      </c>
      <c r="F313" s="9">
        <f>Source!AQ529</f>
        <v>0.16</v>
      </c>
      <c r="G313" s="21"/>
      <c r="H313" s="20" t="str">
        <f>Source!DI529</f>
        <v/>
      </c>
      <c r="I313" s="9">
        <f>Source!AV529</f>
        <v>1</v>
      </c>
      <c r="J313" s="9"/>
      <c r="K313" s="21"/>
      <c r="L313" s="21">
        <f>Source!U529</f>
        <v>0.32</v>
      </c>
    </row>
    <row r="314" spans="1:22" ht="15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44">
        <f>K310+K311+K312</f>
        <v>323.82000000000005</v>
      </c>
      <c r="K314" s="44"/>
      <c r="L314" s="25">
        <f>IF(Source!I529&lt;&gt;0, ROUND(J314/Source!I529, 2), 0)</f>
        <v>161.91</v>
      </c>
      <c r="P314" s="23">
        <f>J314</f>
        <v>323.82000000000005</v>
      </c>
    </row>
    <row r="315" spans="1:22" ht="42.75" x14ac:dyDescent="0.2">
      <c r="A315" s="18">
        <v>31</v>
      </c>
      <c r="B315" s="18">
        <v>31</v>
      </c>
      <c r="C315" s="18" t="str">
        <f>Source!F530</f>
        <v>1.21-2303-28-1/1</v>
      </c>
      <c r="D315" s="18" t="str">
        <f>Source!G530</f>
        <v>Техническое обслуживание автоматического выключателя до 160 А</v>
      </c>
      <c r="E315" s="19" t="str">
        <f>Source!H530</f>
        <v>шт.</v>
      </c>
      <c r="F315" s="9">
        <f>Source!I530</f>
        <v>4</v>
      </c>
      <c r="G315" s="21"/>
      <c r="H315" s="20"/>
      <c r="I315" s="9"/>
      <c r="J315" s="9"/>
      <c r="K315" s="21"/>
      <c r="L315" s="21"/>
      <c r="Q315">
        <f>ROUND((Source!BZ530/100)*ROUND((Source!AF530*Source!AV530)*Source!I530, 2), 2)</f>
        <v>1192.24</v>
      </c>
      <c r="R315">
        <f>Source!X530</f>
        <v>1192.24</v>
      </c>
      <c r="S315">
        <f>ROUND((Source!CA530/100)*ROUND((Source!AF530*Source!AV530)*Source!I530, 2), 2)</f>
        <v>170.32</v>
      </c>
      <c r="T315">
        <f>Source!Y530</f>
        <v>170.32</v>
      </c>
      <c r="U315">
        <f>ROUND((175/100)*ROUND((Source!AE530*Source!AV530)*Source!I530, 2), 2)</f>
        <v>0</v>
      </c>
      <c r="V315">
        <f>ROUND((108/100)*ROUND(Source!CS530*Source!I530, 2), 2)</f>
        <v>0</v>
      </c>
    </row>
    <row r="316" spans="1:22" ht="14.25" x14ac:dyDescent="0.2">
      <c r="A316" s="18"/>
      <c r="B316" s="18"/>
      <c r="C316" s="18"/>
      <c r="D316" s="18" t="s">
        <v>536</v>
      </c>
      <c r="E316" s="19"/>
      <c r="F316" s="9"/>
      <c r="G316" s="21">
        <f>Source!AO530</f>
        <v>212.9</v>
      </c>
      <c r="H316" s="20" t="str">
        <f>Source!DG530</f>
        <v>)*2</v>
      </c>
      <c r="I316" s="9">
        <f>Source!AV530</f>
        <v>1</v>
      </c>
      <c r="J316" s="9">
        <f>IF(Source!BA530&lt;&gt; 0, Source!BA530, 1)</f>
        <v>1</v>
      </c>
      <c r="K316" s="21">
        <f>Source!S530</f>
        <v>1703.2</v>
      </c>
      <c r="L316" s="21"/>
    </row>
    <row r="317" spans="1:22" ht="14.25" x14ac:dyDescent="0.2">
      <c r="A317" s="18"/>
      <c r="B317" s="18"/>
      <c r="C317" s="18"/>
      <c r="D317" s="18" t="s">
        <v>544</v>
      </c>
      <c r="E317" s="19"/>
      <c r="F317" s="9"/>
      <c r="G317" s="21">
        <f>Source!AL530</f>
        <v>4.53</v>
      </c>
      <c r="H317" s="20" t="str">
        <f>Source!DD530</f>
        <v>)*2</v>
      </c>
      <c r="I317" s="9">
        <f>Source!AW530</f>
        <v>1</v>
      </c>
      <c r="J317" s="9">
        <f>IF(Source!BC530&lt;&gt; 0, Source!BC530, 1)</f>
        <v>1</v>
      </c>
      <c r="K317" s="21">
        <f>Source!P530</f>
        <v>36.24</v>
      </c>
      <c r="L317" s="21"/>
    </row>
    <row r="318" spans="1:22" ht="14.25" x14ac:dyDescent="0.2">
      <c r="A318" s="18"/>
      <c r="B318" s="18"/>
      <c r="C318" s="18"/>
      <c r="D318" s="18" t="s">
        <v>537</v>
      </c>
      <c r="E318" s="19" t="s">
        <v>538</v>
      </c>
      <c r="F318" s="9">
        <f>Source!AT530</f>
        <v>70</v>
      </c>
      <c r="G318" s="21"/>
      <c r="H318" s="20"/>
      <c r="I318" s="9"/>
      <c r="J318" s="9"/>
      <c r="K318" s="21">
        <f>SUM(R315:R317)</f>
        <v>1192.24</v>
      </c>
      <c r="L318" s="21"/>
    </row>
    <row r="319" spans="1:22" ht="14.25" x14ac:dyDescent="0.2">
      <c r="A319" s="18"/>
      <c r="B319" s="18"/>
      <c r="C319" s="18"/>
      <c r="D319" s="18" t="s">
        <v>539</v>
      </c>
      <c r="E319" s="19" t="s">
        <v>538</v>
      </c>
      <c r="F319" s="9">
        <f>Source!AU530</f>
        <v>10</v>
      </c>
      <c r="G319" s="21"/>
      <c r="H319" s="20"/>
      <c r="I319" s="9"/>
      <c r="J319" s="9"/>
      <c r="K319" s="21">
        <f>SUM(T315:T318)</f>
        <v>170.32</v>
      </c>
      <c r="L319" s="21"/>
    </row>
    <row r="320" spans="1:22" ht="14.25" x14ac:dyDescent="0.2">
      <c r="A320" s="18"/>
      <c r="B320" s="18"/>
      <c r="C320" s="18"/>
      <c r="D320" s="18" t="s">
        <v>540</v>
      </c>
      <c r="E320" s="19" t="s">
        <v>541</v>
      </c>
      <c r="F320" s="9">
        <f>Source!AQ530</f>
        <v>0.3</v>
      </c>
      <c r="G320" s="21"/>
      <c r="H320" s="20" t="str">
        <f>Source!DI530</f>
        <v>)*2</v>
      </c>
      <c r="I320" s="9">
        <f>Source!AV530</f>
        <v>1</v>
      </c>
      <c r="J320" s="9"/>
      <c r="K320" s="21"/>
      <c r="L320" s="21">
        <f>Source!U530</f>
        <v>2.4</v>
      </c>
    </row>
    <row r="321" spans="1:22" ht="15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44">
        <f>K316+K317+K318+K319</f>
        <v>3102.0000000000005</v>
      </c>
      <c r="K321" s="44"/>
      <c r="L321" s="25">
        <f>IF(Source!I530&lt;&gt;0, ROUND(J321/Source!I530, 2), 0)</f>
        <v>775.5</v>
      </c>
      <c r="P321" s="23">
        <f>J321</f>
        <v>3102.0000000000005</v>
      </c>
    </row>
    <row r="322" spans="1:22" ht="42.75" x14ac:dyDescent="0.2">
      <c r="A322" s="18">
        <v>32</v>
      </c>
      <c r="B322" s="18">
        <v>32</v>
      </c>
      <c r="C322" s="18" t="str">
        <f>Source!F532</f>
        <v>1.21-2303-28-1/1</v>
      </c>
      <c r="D322" s="18" t="str">
        <f>Source!G532</f>
        <v>Техническое обслуживание автоматического выключателя до 160 А</v>
      </c>
      <c r="E322" s="19" t="str">
        <f>Source!H532</f>
        <v>шт.</v>
      </c>
      <c r="F322" s="9">
        <f>Source!I532</f>
        <v>9</v>
      </c>
      <c r="G322" s="21"/>
      <c r="H322" s="20"/>
      <c r="I322" s="9"/>
      <c r="J322" s="9"/>
      <c r="K322" s="21"/>
      <c r="L322" s="21"/>
      <c r="Q322">
        <f>ROUND((Source!BZ532/100)*ROUND((Source!AF532*Source!AV532)*Source!I532, 2), 2)</f>
        <v>2682.54</v>
      </c>
      <c r="R322">
        <f>Source!X532</f>
        <v>2682.54</v>
      </c>
      <c r="S322">
        <f>ROUND((Source!CA532/100)*ROUND((Source!AF532*Source!AV532)*Source!I532, 2), 2)</f>
        <v>383.22</v>
      </c>
      <c r="T322">
        <f>Source!Y532</f>
        <v>383.22</v>
      </c>
      <c r="U322">
        <f>ROUND((175/100)*ROUND((Source!AE532*Source!AV532)*Source!I532, 2), 2)</f>
        <v>0</v>
      </c>
      <c r="V322">
        <f>ROUND((108/100)*ROUND(Source!CS532*Source!I532, 2), 2)</f>
        <v>0</v>
      </c>
    </row>
    <row r="323" spans="1:22" x14ac:dyDescent="0.2">
      <c r="D323" s="22" t="str">
        <f>"Объем: "&amp;Source!I532&amp;"=1+"&amp;"8"</f>
        <v>Объем: 9=1+8</v>
      </c>
    </row>
    <row r="324" spans="1:22" ht="14.25" x14ac:dyDescent="0.2">
      <c r="A324" s="18"/>
      <c r="B324" s="18"/>
      <c r="C324" s="18"/>
      <c r="D324" s="18" t="s">
        <v>536</v>
      </c>
      <c r="E324" s="19"/>
      <c r="F324" s="9"/>
      <c r="G324" s="21">
        <f>Source!AO532</f>
        <v>212.9</v>
      </c>
      <c r="H324" s="20" t="str">
        <f>Source!DG532</f>
        <v>)*2</v>
      </c>
      <c r="I324" s="9">
        <f>Source!AV532</f>
        <v>1</v>
      </c>
      <c r="J324" s="9">
        <f>IF(Source!BA532&lt;&gt; 0, Source!BA532, 1)</f>
        <v>1</v>
      </c>
      <c r="K324" s="21">
        <f>Source!S532</f>
        <v>3832.2</v>
      </c>
      <c r="L324" s="21"/>
    </row>
    <row r="325" spans="1:22" ht="14.25" x14ac:dyDescent="0.2">
      <c r="A325" s="18"/>
      <c r="B325" s="18"/>
      <c r="C325" s="18"/>
      <c r="D325" s="18" t="s">
        <v>544</v>
      </c>
      <c r="E325" s="19"/>
      <c r="F325" s="9"/>
      <c r="G325" s="21">
        <f>Source!AL532</f>
        <v>4.53</v>
      </c>
      <c r="H325" s="20" t="str">
        <f>Source!DD532</f>
        <v>)*2</v>
      </c>
      <c r="I325" s="9">
        <f>Source!AW532</f>
        <v>1</v>
      </c>
      <c r="J325" s="9">
        <f>IF(Source!BC532&lt;&gt; 0, Source!BC532, 1)</f>
        <v>1</v>
      </c>
      <c r="K325" s="21">
        <f>Source!P532</f>
        <v>81.540000000000006</v>
      </c>
      <c r="L325" s="21"/>
    </row>
    <row r="326" spans="1:22" ht="14.25" x14ac:dyDescent="0.2">
      <c r="A326" s="18"/>
      <c r="B326" s="18"/>
      <c r="C326" s="18"/>
      <c r="D326" s="18" t="s">
        <v>537</v>
      </c>
      <c r="E326" s="19" t="s">
        <v>538</v>
      </c>
      <c r="F326" s="9">
        <f>Source!AT532</f>
        <v>70</v>
      </c>
      <c r="G326" s="21"/>
      <c r="H326" s="20"/>
      <c r="I326" s="9"/>
      <c r="J326" s="9"/>
      <c r="K326" s="21">
        <f>SUM(R322:R325)</f>
        <v>2682.54</v>
      </c>
      <c r="L326" s="21"/>
    </row>
    <row r="327" spans="1:22" ht="14.25" x14ac:dyDescent="0.2">
      <c r="A327" s="18"/>
      <c r="B327" s="18"/>
      <c r="C327" s="18"/>
      <c r="D327" s="18" t="s">
        <v>539</v>
      </c>
      <c r="E327" s="19" t="s">
        <v>538</v>
      </c>
      <c r="F327" s="9">
        <f>Source!AU532</f>
        <v>10</v>
      </c>
      <c r="G327" s="21"/>
      <c r="H327" s="20"/>
      <c r="I327" s="9"/>
      <c r="J327" s="9"/>
      <c r="K327" s="21">
        <f>SUM(T322:T326)</f>
        <v>383.22</v>
      </c>
      <c r="L327" s="21"/>
    </row>
    <row r="328" spans="1:22" ht="14.25" x14ac:dyDescent="0.2">
      <c r="A328" s="18"/>
      <c r="B328" s="18"/>
      <c r="C328" s="18"/>
      <c r="D328" s="18" t="s">
        <v>540</v>
      </c>
      <c r="E328" s="19" t="s">
        <v>541</v>
      </c>
      <c r="F328" s="9">
        <f>Source!AQ532</f>
        <v>0.3</v>
      </c>
      <c r="G328" s="21"/>
      <c r="H328" s="20" t="str">
        <f>Source!DI532</f>
        <v>)*2</v>
      </c>
      <c r="I328" s="9">
        <f>Source!AV532</f>
        <v>1</v>
      </c>
      <c r="J328" s="9"/>
      <c r="K328" s="21"/>
      <c r="L328" s="21">
        <f>Source!U532</f>
        <v>5.3999999999999995</v>
      </c>
    </row>
    <row r="329" spans="1:22" ht="15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44">
        <f>K324+K325+K326+K327</f>
        <v>6979.5</v>
      </c>
      <c r="K329" s="44"/>
      <c r="L329" s="25">
        <f>IF(Source!I532&lt;&gt;0, ROUND(J329/Source!I532, 2), 0)</f>
        <v>775.5</v>
      </c>
      <c r="P329" s="23">
        <f>J329</f>
        <v>6979.5</v>
      </c>
    </row>
    <row r="330" spans="1:22" ht="114" x14ac:dyDescent="0.2">
      <c r="A330" s="18">
        <v>33</v>
      </c>
      <c r="B330" s="18">
        <v>33</v>
      </c>
      <c r="C330" s="18" t="str">
        <f>Source!F533</f>
        <v>1.23-2303-5-1/1</v>
      </c>
      <c r="D330" s="18" t="str">
        <f>Source!G533</f>
        <v>Комплекс работ по техническому обслуживанию оборудования, автоматизированных систем и исполнительных механизмов - шкафы, пульты управления, автоматизированные рабочие места/Шкаф управления TM AWADA в сборе</v>
      </c>
      <c r="E330" s="19" t="str">
        <f>Source!H533</f>
        <v>шт.</v>
      </c>
      <c r="F330" s="9">
        <f>Source!I533</f>
        <v>6</v>
      </c>
      <c r="G330" s="21"/>
      <c r="H330" s="20"/>
      <c r="I330" s="9"/>
      <c r="J330" s="9"/>
      <c r="K330" s="21"/>
      <c r="L330" s="21"/>
      <c r="Q330">
        <f>ROUND((Source!BZ533/100)*ROUND((Source!AF533*Source!AV533)*Source!I533, 2), 2)</f>
        <v>6852.22</v>
      </c>
      <c r="R330">
        <f>Source!X533</f>
        <v>6852.22</v>
      </c>
      <c r="S330">
        <f>ROUND((Source!CA533/100)*ROUND((Source!AF533*Source!AV533)*Source!I533, 2), 2)</f>
        <v>978.89</v>
      </c>
      <c r="T330">
        <f>Source!Y533</f>
        <v>978.89</v>
      </c>
      <c r="U330">
        <f>ROUND((175/100)*ROUND((Source!AE533*Source!AV533)*Source!I533, 2), 2)</f>
        <v>0</v>
      </c>
      <c r="V330">
        <f>ROUND((108/100)*ROUND(Source!CS533*Source!I533, 2), 2)</f>
        <v>0</v>
      </c>
    </row>
    <row r="331" spans="1:22" x14ac:dyDescent="0.2">
      <c r="D331" s="22" t="str">
        <f>"Объем: "&amp;Source!I533&amp;"=1+"&amp;"5"</f>
        <v>Объем: 6=1+5</v>
      </c>
    </row>
    <row r="332" spans="1:22" ht="14.25" x14ac:dyDescent="0.2">
      <c r="A332" s="18"/>
      <c r="B332" s="18"/>
      <c r="C332" s="18"/>
      <c r="D332" s="18" t="s">
        <v>536</v>
      </c>
      <c r="E332" s="19"/>
      <c r="F332" s="9"/>
      <c r="G332" s="21">
        <f>Source!AO533</f>
        <v>815.74</v>
      </c>
      <c r="H332" s="20" t="str">
        <f>Source!DG533</f>
        <v>)*2</v>
      </c>
      <c r="I332" s="9">
        <f>Source!AV533</f>
        <v>1</v>
      </c>
      <c r="J332" s="9">
        <f>IF(Source!BA533&lt;&gt; 0, Source!BA533, 1)</f>
        <v>1</v>
      </c>
      <c r="K332" s="21">
        <f>Source!S533</f>
        <v>9788.8799999999992</v>
      </c>
      <c r="L332" s="21"/>
    </row>
    <row r="333" spans="1:22" ht="14.25" x14ac:dyDescent="0.2">
      <c r="A333" s="18"/>
      <c r="B333" s="18"/>
      <c r="C333" s="18"/>
      <c r="D333" s="18" t="s">
        <v>537</v>
      </c>
      <c r="E333" s="19" t="s">
        <v>538</v>
      </c>
      <c r="F333" s="9">
        <f>Source!AT533</f>
        <v>70</v>
      </c>
      <c r="G333" s="21"/>
      <c r="H333" s="20"/>
      <c r="I333" s="9"/>
      <c r="J333" s="9"/>
      <c r="K333" s="21">
        <f>SUM(R330:R332)</f>
        <v>6852.22</v>
      </c>
      <c r="L333" s="21"/>
    </row>
    <row r="334" spans="1:22" ht="14.25" x14ac:dyDescent="0.2">
      <c r="A334" s="18"/>
      <c r="B334" s="18"/>
      <c r="C334" s="18"/>
      <c r="D334" s="18" t="s">
        <v>539</v>
      </c>
      <c r="E334" s="19" t="s">
        <v>538</v>
      </c>
      <c r="F334" s="9">
        <f>Source!AU533</f>
        <v>10</v>
      </c>
      <c r="G334" s="21"/>
      <c r="H334" s="20"/>
      <c r="I334" s="9"/>
      <c r="J334" s="9"/>
      <c r="K334" s="21">
        <f>SUM(T330:T333)</f>
        <v>978.89</v>
      </c>
      <c r="L334" s="21"/>
    </row>
    <row r="335" spans="1:22" ht="14.25" x14ac:dyDescent="0.2">
      <c r="A335" s="18"/>
      <c r="B335" s="18"/>
      <c r="C335" s="18"/>
      <c r="D335" s="18" t="s">
        <v>540</v>
      </c>
      <c r="E335" s="19" t="s">
        <v>541</v>
      </c>
      <c r="F335" s="9">
        <f>Source!AQ533</f>
        <v>1.06</v>
      </c>
      <c r="G335" s="21"/>
      <c r="H335" s="20" t="str">
        <f>Source!DI533</f>
        <v>)*2</v>
      </c>
      <c r="I335" s="9">
        <f>Source!AV533</f>
        <v>1</v>
      </c>
      <c r="J335" s="9"/>
      <c r="K335" s="21"/>
      <c r="L335" s="21">
        <f>Source!U533</f>
        <v>12.72</v>
      </c>
    </row>
    <row r="336" spans="1:22" ht="15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44">
        <f>K332+K333+K334</f>
        <v>17619.989999999998</v>
      </c>
      <c r="K336" s="44"/>
      <c r="L336" s="25">
        <f>IF(Source!I533&lt;&gt;0, ROUND(J336/Source!I533, 2), 0)</f>
        <v>2936.67</v>
      </c>
      <c r="P336" s="23">
        <f>J336</f>
        <v>17619.989999999998</v>
      </c>
    </row>
    <row r="338" spans="1:22" ht="15" x14ac:dyDescent="0.25">
      <c r="A338" s="43" t="str">
        <f>CONCATENATE("Итого по подразделу: ",IF(Source!G535&lt;&gt;"Новый подраздел", Source!G535, ""))</f>
        <v>Итого по подразделу: Оборудование</v>
      </c>
      <c r="B338" s="43"/>
      <c r="C338" s="43"/>
      <c r="D338" s="43"/>
      <c r="E338" s="43"/>
      <c r="F338" s="43"/>
      <c r="G338" s="43"/>
      <c r="H338" s="43"/>
      <c r="I338" s="43"/>
      <c r="J338" s="41">
        <f>SUM(P190:P337)</f>
        <v>88041.319999999978</v>
      </c>
      <c r="K338" s="42"/>
      <c r="L338" s="27"/>
    </row>
    <row r="341" spans="1:22" ht="16.5" x14ac:dyDescent="0.25">
      <c r="A341" s="45" t="str">
        <f>CONCATENATE("Подраздел: ",IF(Source!G565&lt;&gt;"Новый подраздел", Source!G565, ""))</f>
        <v>Подраздел: Осветительная арматура</v>
      </c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22" ht="207.75" x14ac:dyDescent="0.2">
      <c r="A342" s="18">
        <v>34</v>
      </c>
      <c r="B342" s="18">
        <v>34</v>
      </c>
      <c r="C342" s="18" t="s">
        <v>546</v>
      </c>
      <c r="D342" s="18" t="s">
        <v>547</v>
      </c>
      <c r="E342" s="19" t="str">
        <f>Source!H569</f>
        <v>шт.</v>
      </c>
      <c r="F342" s="9">
        <f>Source!I569</f>
        <v>270</v>
      </c>
      <c r="G342" s="21"/>
      <c r="H342" s="20"/>
      <c r="I342" s="9"/>
      <c r="J342" s="9"/>
      <c r="K342" s="21"/>
      <c r="L342" s="21"/>
      <c r="Q342">
        <f>ROUND((Source!BZ569/100)*ROUND((Source!AF569*Source!AV569)*Source!I569, 2), 2)</f>
        <v>19889.91</v>
      </c>
      <c r="R342">
        <f>Source!X569</f>
        <v>19889.91</v>
      </c>
      <c r="S342">
        <f>ROUND((Source!CA569/100)*ROUND((Source!AF569*Source!AV569)*Source!I569, 2), 2)</f>
        <v>2841.42</v>
      </c>
      <c r="T342">
        <f>Source!Y569</f>
        <v>2841.42</v>
      </c>
      <c r="U342">
        <f>ROUND((175/100)*ROUND((Source!AE569*Source!AV569)*Source!I569, 2), 2)</f>
        <v>0</v>
      </c>
      <c r="V342">
        <f>ROUND((108/100)*ROUND(Source!CS569*Source!I569, 2), 2)</f>
        <v>0</v>
      </c>
    </row>
    <row r="343" spans="1:22" ht="14.25" x14ac:dyDescent="0.2">
      <c r="A343" s="18"/>
      <c r="B343" s="18"/>
      <c r="C343" s="18"/>
      <c r="D343" s="18" t="s">
        <v>536</v>
      </c>
      <c r="E343" s="19"/>
      <c r="F343" s="9"/>
      <c r="G343" s="21">
        <f>Source!AO569</f>
        <v>101.19</v>
      </c>
      <c r="H343" s="20" t="str">
        <f>Source!DG569</f>
        <v>*1,04</v>
      </c>
      <c r="I343" s="9">
        <f>Source!AV569</f>
        <v>1</v>
      </c>
      <c r="J343" s="9">
        <f>IF(Source!BA569&lt;&gt; 0, Source!BA569, 1)</f>
        <v>1</v>
      </c>
      <c r="K343" s="21">
        <f>Source!S569</f>
        <v>28414.15</v>
      </c>
      <c r="L343" s="21"/>
    </row>
    <row r="344" spans="1:22" ht="14.25" x14ac:dyDescent="0.2">
      <c r="A344" s="18"/>
      <c r="B344" s="18"/>
      <c r="C344" s="18"/>
      <c r="D344" s="18" t="s">
        <v>544</v>
      </c>
      <c r="E344" s="19"/>
      <c r="F344" s="9"/>
      <c r="G344" s="21">
        <f>Source!AL569</f>
        <v>1.26</v>
      </c>
      <c r="H344" s="20" t="str">
        <f>Source!DD569</f>
        <v/>
      </c>
      <c r="I344" s="9">
        <f>Source!AW569</f>
        <v>1</v>
      </c>
      <c r="J344" s="9">
        <f>IF(Source!BC569&lt;&gt; 0, Source!BC569, 1)</f>
        <v>1</v>
      </c>
      <c r="K344" s="21">
        <f>Source!P569</f>
        <v>340.2</v>
      </c>
      <c r="L344" s="21"/>
    </row>
    <row r="345" spans="1:22" ht="14.25" x14ac:dyDescent="0.2">
      <c r="A345" s="18"/>
      <c r="B345" s="18"/>
      <c r="C345" s="18"/>
      <c r="D345" s="18" t="s">
        <v>537</v>
      </c>
      <c r="E345" s="19" t="s">
        <v>538</v>
      </c>
      <c r="F345" s="9">
        <f>Source!AT569</f>
        <v>70</v>
      </c>
      <c r="G345" s="21"/>
      <c r="H345" s="20"/>
      <c r="I345" s="9"/>
      <c r="J345" s="9"/>
      <c r="K345" s="21">
        <f>SUM(R342:R344)</f>
        <v>19889.91</v>
      </c>
      <c r="L345" s="21"/>
    </row>
    <row r="346" spans="1:22" ht="14.25" x14ac:dyDescent="0.2">
      <c r="A346" s="18"/>
      <c r="B346" s="18"/>
      <c r="C346" s="18"/>
      <c r="D346" s="18" t="s">
        <v>539</v>
      </c>
      <c r="E346" s="19" t="s">
        <v>538</v>
      </c>
      <c r="F346" s="9">
        <f>Source!AU569</f>
        <v>10</v>
      </c>
      <c r="G346" s="21"/>
      <c r="H346" s="20"/>
      <c r="I346" s="9"/>
      <c r="J346" s="9"/>
      <c r="K346" s="21">
        <f>SUM(T342:T345)</f>
        <v>2841.42</v>
      </c>
      <c r="L346" s="21"/>
    </row>
    <row r="347" spans="1:22" ht="14.25" x14ac:dyDescent="0.2">
      <c r="A347" s="18"/>
      <c r="B347" s="18"/>
      <c r="C347" s="18"/>
      <c r="D347" s="18" t="s">
        <v>540</v>
      </c>
      <c r="E347" s="19" t="s">
        <v>541</v>
      </c>
      <c r="F347" s="9">
        <f>Source!AQ569</f>
        <v>0.18</v>
      </c>
      <c r="G347" s="21"/>
      <c r="H347" s="20" t="str">
        <f>Source!DI569</f>
        <v>*1,04</v>
      </c>
      <c r="I347" s="9">
        <f>Source!AV569</f>
        <v>1</v>
      </c>
      <c r="J347" s="9"/>
      <c r="K347" s="21"/>
      <c r="L347" s="21">
        <f>Source!U569</f>
        <v>50.544000000000004</v>
      </c>
    </row>
    <row r="348" spans="1:22" ht="15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44">
        <f>K343+K344+K345+K346</f>
        <v>51485.68</v>
      </c>
      <c r="K348" s="44"/>
      <c r="L348" s="25">
        <f>IF(Source!I569&lt;&gt;0, ROUND(J348/Source!I569, 2), 0)</f>
        <v>190.69</v>
      </c>
      <c r="P348" s="23">
        <f>J348</f>
        <v>51485.68</v>
      </c>
    </row>
    <row r="349" spans="1:22" ht="222" x14ac:dyDescent="0.2">
      <c r="A349" s="18">
        <v>35</v>
      </c>
      <c r="B349" s="18">
        <v>35</v>
      </c>
      <c r="C349" s="18" t="s">
        <v>548</v>
      </c>
      <c r="D349" s="18" t="s">
        <v>549</v>
      </c>
      <c r="E349" s="19" t="str">
        <f>Source!H570</f>
        <v>шт.</v>
      </c>
      <c r="F349" s="9">
        <f>Source!I570</f>
        <v>12</v>
      </c>
      <c r="G349" s="21"/>
      <c r="H349" s="20"/>
      <c r="I349" s="9"/>
      <c r="J349" s="9"/>
      <c r="K349" s="21"/>
      <c r="L349" s="21"/>
      <c r="Q349">
        <f>ROUND((Source!BZ570/100)*ROUND((Source!AF570*Source!AV570)*Source!I570, 2), 2)</f>
        <v>884</v>
      </c>
      <c r="R349">
        <f>Source!X570</f>
        <v>884</v>
      </c>
      <c r="S349">
        <f>ROUND((Source!CA570/100)*ROUND((Source!AF570*Source!AV570)*Source!I570, 2), 2)</f>
        <v>126.29</v>
      </c>
      <c r="T349">
        <f>Source!Y570</f>
        <v>126.29</v>
      </c>
      <c r="U349">
        <f>ROUND((175/100)*ROUND((Source!AE570*Source!AV570)*Source!I570, 2), 2)</f>
        <v>0</v>
      </c>
      <c r="V349">
        <f>ROUND((108/100)*ROUND(Source!CS570*Source!I570, 2), 2)</f>
        <v>0</v>
      </c>
    </row>
    <row r="350" spans="1:22" x14ac:dyDescent="0.2">
      <c r="D350" s="22" t="str">
        <f>"Объем: "&amp;Source!I570&amp;"=10+"&amp;"2"</f>
        <v>Объем: 12=10+2</v>
      </c>
    </row>
    <row r="351" spans="1:22" ht="14.25" x14ac:dyDescent="0.2">
      <c r="A351" s="18"/>
      <c r="B351" s="18"/>
      <c r="C351" s="18"/>
      <c r="D351" s="18" t="s">
        <v>536</v>
      </c>
      <c r="E351" s="19"/>
      <c r="F351" s="9"/>
      <c r="G351" s="21">
        <f>Source!AO570</f>
        <v>101.19</v>
      </c>
      <c r="H351" s="20" t="str">
        <f>Source!DG570</f>
        <v>*1,04</v>
      </c>
      <c r="I351" s="9">
        <f>Source!AV570</f>
        <v>1</v>
      </c>
      <c r="J351" s="9">
        <f>IF(Source!BA570&lt;&gt; 0, Source!BA570, 1)</f>
        <v>1</v>
      </c>
      <c r="K351" s="21">
        <f>Source!S570</f>
        <v>1262.8499999999999</v>
      </c>
      <c r="L351" s="21"/>
    </row>
    <row r="352" spans="1:22" ht="14.25" x14ac:dyDescent="0.2">
      <c r="A352" s="18"/>
      <c r="B352" s="18"/>
      <c r="C352" s="18"/>
      <c r="D352" s="18" t="s">
        <v>544</v>
      </c>
      <c r="E352" s="19"/>
      <c r="F352" s="9"/>
      <c r="G352" s="21">
        <f>Source!AL570</f>
        <v>1.57</v>
      </c>
      <c r="H352" s="20" t="str">
        <f>Source!DD570</f>
        <v/>
      </c>
      <c r="I352" s="9">
        <f>Source!AW570</f>
        <v>1</v>
      </c>
      <c r="J352" s="9">
        <f>IF(Source!BC570&lt;&gt; 0, Source!BC570, 1)</f>
        <v>1</v>
      </c>
      <c r="K352" s="21">
        <f>Source!P570</f>
        <v>18.84</v>
      </c>
      <c r="L352" s="21"/>
    </row>
    <row r="353" spans="1:22" ht="14.25" x14ac:dyDescent="0.2">
      <c r="A353" s="18"/>
      <c r="B353" s="18"/>
      <c r="C353" s="18"/>
      <c r="D353" s="18" t="s">
        <v>537</v>
      </c>
      <c r="E353" s="19" t="s">
        <v>538</v>
      </c>
      <c r="F353" s="9">
        <f>Source!AT570</f>
        <v>70</v>
      </c>
      <c r="G353" s="21"/>
      <c r="H353" s="20"/>
      <c r="I353" s="9"/>
      <c r="J353" s="9"/>
      <c r="K353" s="21">
        <f>SUM(R349:R352)</f>
        <v>884</v>
      </c>
      <c r="L353" s="21"/>
    </row>
    <row r="354" spans="1:22" ht="14.25" x14ac:dyDescent="0.2">
      <c r="A354" s="18"/>
      <c r="B354" s="18"/>
      <c r="C354" s="18"/>
      <c r="D354" s="18" t="s">
        <v>539</v>
      </c>
      <c r="E354" s="19" t="s">
        <v>538</v>
      </c>
      <c r="F354" s="9">
        <f>Source!AU570</f>
        <v>10</v>
      </c>
      <c r="G354" s="21"/>
      <c r="H354" s="20"/>
      <c r="I354" s="9"/>
      <c r="J354" s="9"/>
      <c r="K354" s="21">
        <f>SUM(T349:T353)</f>
        <v>126.29</v>
      </c>
      <c r="L354" s="21"/>
    </row>
    <row r="355" spans="1:22" ht="14.25" x14ac:dyDescent="0.2">
      <c r="A355" s="18"/>
      <c r="B355" s="18"/>
      <c r="C355" s="18"/>
      <c r="D355" s="18" t="s">
        <v>540</v>
      </c>
      <c r="E355" s="19" t="s">
        <v>541</v>
      </c>
      <c r="F355" s="9">
        <f>Source!AQ570</f>
        <v>0.18</v>
      </c>
      <c r="G355" s="21"/>
      <c r="H355" s="20" t="str">
        <f>Source!DI570</f>
        <v>*1,04</v>
      </c>
      <c r="I355" s="9">
        <f>Source!AV570</f>
        <v>1</v>
      </c>
      <c r="J355" s="9"/>
      <c r="K355" s="21"/>
      <c r="L355" s="21">
        <f>Source!U570</f>
        <v>2.2464</v>
      </c>
    </row>
    <row r="356" spans="1:22" ht="15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44">
        <f>K351+K352+K353+K354</f>
        <v>2291.9799999999996</v>
      </c>
      <c r="K356" s="44"/>
      <c r="L356" s="25">
        <f>IF(Source!I570&lt;&gt;0, ROUND(J356/Source!I570, 2), 0)</f>
        <v>191</v>
      </c>
      <c r="P356" s="23">
        <f>J356</f>
        <v>2291.9799999999996</v>
      </c>
    </row>
    <row r="357" spans="1:22" ht="71.25" x14ac:dyDescent="0.2">
      <c r="A357" s="18">
        <v>36</v>
      </c>
      <c r="B357" s="18">
        <v>36</v>
      </c>
      <c r="C357" s="18" t="str">
        <f>Source!F571</f>
        <v>1.20-2103-20-1/1</v>
      </c>
      <c r="D357" s="18" t="str">
        <f>Source!G571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357" s="19" t="str">
        <f>Source!H571</f>
        <v>шт.</v>
      </c>
      <c r="F357" s="9">
        <f>Source!I571</f>
        <v>30</v>
      </c>
      <c r="G357" s="21"/>
      <c r="H357" s="20"/>
      <c r="I357" s="9"/>
      <c r="J357" s="9"/>
      <c r="K357" s="21"/>
      <c r="L357" s="21"/>
      <c r="Q357">
        <f>ROUND((Source!BZ571/100)*ROUND((Source!AF571*Source!AV571)*Source!I571, 2), 2)</f>
        <v>12277.44</v>
      </c>
      <c r="R357">
        <f>Source!X571</f>
        <v>12277.44</v>
      </c>
      <c r="S357">
        <f>ROUND((Source!CA571/100)*ROUND((Source!AF571*Source!AV571)*Source!I571, 2), 2)</f>
        <v>1753.92</v>
      </c>
      <c r="T357">
        <f>Source!Y571</f>
        <v>1753.92</v>
      </c>
      <c r="U357">
        <f>ROUND((175/100)*ROUND((Source!AE571*Source!AV571)*Source!I571, 2), 2)</f>
        <v>0</v>
      </c>
      <c r="V357">
        <f>ROUND((108/100)*ROUND(Source!CS571*Source!I571, 2), 2)</f>
        <v>0</v>
      </c>
    </row>
    <row r="358" spans="1:22" x14ac:dyDescent="0.2">
      <c r="D358" s="22" t="str">
        <f>"Объем: "&amp;Source!I571&amp;"=18+"&amp;"12"</f>
        <v>Объем: 30=18+12</v>
      </c>
    </row>
    <row r="359" spans="1:22" ht="14.25" x14ac:dyDescent="0.2">
      <c r="A359" s="18"/>
      <c r="B359" s="18"/>
      <c r="C359" s="18"/>
      <c r="D359" s="18" t="s">
        <v>536</v>
      </c>
      <c r="E359" s="19"/>
      <c r="F359" s="9"/>
      <c r="G359" s="21">
        <f>Source!AO571</f>
        <v>146.16</v>
      </c>
      <c r="H359" s="20" t="str">
        <f>Source!DG571</f>
        <v>)*4</v>
      </c>
      <c r="I359" s="9">
        <f>Source!AV571</f>
        <v>1</v>
      </c>
      <c r="J359" s="9">
        <f>IF(Source!BA571&lt;&gt; 0, Source!BA571, 1)</f>
        <v>1</v>
      </c>
      <c r="K359" s="21">
        <f>Source!S571</f>
        <v>17539.2</v>
      </c>
      <c r="L359" s="21"/>
    </row>
    <row r="360" spans="1:22" ht="14.25" x14ac:dyDescent="0.2">
      <c r="A360" s="18"/>
      <c r="B360" s="18"/>
      <c r="C360" s="18"/>
      <c r="D360" s="18" t="s">
        <v>544</v>
      </c>
      <c r="E360" s="19"/>
      <c r="F360" s="9"/>
      <c r="G360" s="21">
        <f>Source!AL571</f>
        <v>1.26</v>
      </c>
      <c r="H360" s="20" t="str">
        <f>Source!DD571</f>
        <v>)*4</v>
      </c>
      <c r="I360" s="9">
        <f>Source!AW571</f>
        <v>1</v>
      </c>
      <c r="J360" s="9">
        <f>IF(Source!BC571&lt;&gt; 0, Source!BC571, 1)</f>
        <v>1</v>
      </c>
      <c r="K360" s="21">
        <f>Source!P571</f>
        <v>151.19999999999999</v>
      </c>
      <c r="L360" s="21"/>
    </row>
    <row r="361" spans="1:22" ht="14.25" x14ac:dyDescent="0.2">
      <c r="A361" s="18"/>
      <c r="B361" s="18"/>
      <c r="C361" s="18"/>
      <c r="D361" s="18" t="s">
        <v>537</v>
      </c>
      <c r="E361" s="19" t="s">
        <v>538</v>
      </c>
      <c r="F361" s="9">
        <f>Source!AT571</f>
        <v>70</v>
      </c>
      <c r="G361" s="21"/>
      <c r="H361" s="20"/>
      <c r="I361" s="9"/>
      <c r="J361" s="9"/>
      <c r="K361" s="21">
        <f>SUM(R357:R360)</f>
        <v>12277.44</v>
      </c>
      <c r="L361" s="21"/>
    </row>
    <row r="362" spans="1:22" ht="14.25" x14ac:dyDescent="0.2">
      <c r="A362" s="18"/>
      <c r="B362" s="18"/>
      <c r="C362" s="18"/>
      <c r="D362" s="18" t="s">
        <v>539</v>
      </c>
      <c r="E362" s="19" t="s">
        <v>538</v>
      </c>
      <c r="F362" s="9">
        <f>Source!AU571</f>
        <v>10</v>
      </c>
      <c r="G362" s="21"/>
      <c r="H362" s="20"/>
      <c r="I362" s="9"/>
      <c r="J362" s="9"/>
      <c r="K362" s="21">
        <f>SUM(T357:T361)</f>
        <v>1753.92</v>
      </c>
      <c r="L362" s="21"/>
    </row>
    <row r="363" spans="1:22" ht="14.25" x14ac:dyDescent="0.2">
      <c r="A363" s="18"/>
      <c r="B363" s="18"/>
      <c r="C363" s="18"/>
      <c r="D363" s="18" t="s">
        <v>540</v>
      </c>
      <c r="E363" s="19" t="s">
        <v>541</v>
      </c>
      <c r="F363" s="9">
        <f>Source!AQ571</f>
        <v>0.26</v>
      </c>
      <c r="G363" s="21"/>
      <c r="H363" s="20" t="str">
        <f>Source!DI571</f>
        <v>)*4</v>
      </c>
      <c r="I363" s="9">
        <f>Source!AV571</f>
        <v>1</v>
      </c>
      <c r="J363" s="9"/>
      <c r="K363" s="21"/>
      <c r="L363" s="21">
        <f>Source!U571</f>
        <v>31.200000000000003</v>
      </c>
    </row>
    <row r="364" spans="1:22" ht="15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44">
        <f>K359+K360+K361+K362</f>
        <v>31721.760000000002</v>
      </c>
      <c r="K364" s="44"/>
      <c r="L364" s="25">
        <f>IF(Source!I571&lt;&gt;0, ROUND(J364/Source!I571, 2), 0)</f>
        <v>1057.3900000000001</v>
      </c>
      <c r="P364" s="23">
        <f>J364</f>
        <v>31721.760000000002</v>
      </c>
    </row>
    <row r="365" spans="1:22" ht="165" x14ac:dyDescent="0.2">
      <c r="A365" s="18">
        <v>37</v>
      </c>
      <c r="B365" s="18">
        <v>37</v>
      </c>
      <c r="C365" s="18" t="s">
        <v>550</v>
      </c>
      <c r="D365" s="18" t="s">
        <v>551</v>
      </c>
      <c r="E365" s="19" t="str">
        <f>Source!H572</f>
        <v>шт.</v>
      </c>
      <c r="F365" s="9">
        <f>Source!I572</f>
        <v>51</v>
      </c>
      <c r="G365" s="21"/>
      <c r="H365" s="20"/>
      <c r="I365" s="9"/>
      <c r="J365" s="9"/>
      <c r="K365" s="21"/>
      <c r="L365" s="21"/>
      <c r="Q365">
        <f>ROUND((Source!BZ572/100)*ROUND((Source!AF572*Source!AV572)*Source!I572, 2), 2)</f>
        <v>7513.97</v>
      </c>
      <c r="R365">
        <f>Source!X572</f>
        <v>7513.97</v>
      </c>
      <c r="S365">
        <f>ROUND((Source!CA572/100)*ROUND((Source!AF572*Source!AV572)*Source!I572, 2), 2)</f>
        <v>1073.42</v>
      </c>
      <c r="T365">
        <f>Source!Y572</f>
        <v>1073.42</v>
      </c>
      <c r="U365">
        <f>ROUND((175/100)*ROUND((Source!AE572*Source!AV572)*Source!I572, 2), 2)</f>
        <v>0</v>
      </c>
      <c r="V365">
        <f>ROUND((108/100)*ROUND(Source!CS572*Source!I572, 2), 2)</f>
        <v>0</v>
      </c>
    </row>
    <row r="366" spans="1:22" ht="14.25" x14ac:dyDescent="0.2">
      <c r="A366" s="18"/>
      <c r="B366" s="18"/>
      <c r="C366" s="18"/>
      <c r="D366" s="18" t="s">
        <v>536</v>
      </c>
      <c r="E366" s="19"/>
      <c r="F366" s="9"/>
      <c r="G366" s="21">
        <f>Source!AO572</f>
        <v>202.38</v>
      </c>
      <c r="H366" s="20" t="str">
        <f>Source!DG572</f>
        <v>)*1,04</v>
      </c>
      <c r="I366" s="9">
        <f>Source!AV572</f>
        <v>1</v>
      </c>
      <c r="J366" s="9">
        <f>IF(Source!BA572&lt;&gt; 0, Source!BA572, 1)</f>
        <v>1</v>
      </c>
      <c r="K366" s="21">
        <f>Source!S572</f>
        <v>10734.24</v>
      </c>
      <c r="L366" s="21"/>
    </row>
    <row r="367" spans="1:22" ht="14.25" x14ac:dyDescent="0.2">
      <c r="A367" s="18"/>
      <c r="B367" s="18"/>
      <c r="C367" s="18"/>
      <c r="D367" s="18" t="s">
        <v>544</v>
      </c>
      <c r="E367" s="19"/>
      <c r="F367" s="9"/>
      <c r="G367" s="21">
        <f>Source!AL572</f>
        <v>9.58</v>
      </c>
      <c r="H367" s="20" t="str">
        <f>Source!DD572</f>
        <v/>
      </c>
      <c r="I367" s="9">
        <f>Source!AW572</f>
        <v>1</v>
      </c>
      <c r="J367" s="9">
        <f>IF(Source!BC572&lt;&gt; 0, Source!BC572, 1)</f>
        <v>1</v>
      </c>
      <c r="K367" s="21">
        <f>Source!P572</f>
        <v>488.58</v>
      </c>
      <c r="L367" s="21"/>
    </row>
    <row r="368" spans="1:22" ht="14.25" x14ac:dyDescent="0.2">
      <c r="A368" s="18"/>
      <c r="B368" s="18"/>
      <c r="C368" s="18"/>
      <c r="D368" s="18" t="s">
        <v>537</v>
      </c>
      <c r="E368" s="19" t="s">
        <v>538</v>
      </c>
      <c r="F368" s="9">
        <f>Source!AT572</f>
        <v>70</v>
      </c>
      <c r="G368" s="21"/>
      <c r="H368" s="20"/>
      <c r="I368" s="9"/>
      <c r="J368" s="9"/>
      <c r="K368" s="21">
        <f>SUM(R365:R367)</f>
        <v>7513.97</v>
      </c>
      <c r="L368" s="21"/>
    </row>
    <row r="369" spans="1:22" ht="14.25" x14ac:dyDescent="0.2">
      <c r="A369" s="18"/>
      <c r="B369" s="18"/>
      <c r="C369" s="18"/>
      <c r="D369" s="18" t="s">
        <v>539</v>
      </c>
      <c r="E369" s="19" t="s">
        <v>538</v>
      </c>
      <c r="F369" s="9">
        <f>Source!AU572</f>
        <v>10</v>
      </c>
      <c r="G369" s="21"/>
      <c r="H369" s="20"/>
      <c r="I369" s="9"/>
      <c r="J369" s="9"/>
      <c r="K369" s="21">
        <f>SUM(T365:T368)</f>
        <v>1073.42</v>
      </c>
      <c r="L369" s="21"/>
    </row>
    <row r="370" spans="1:22" ht="14.25" x14ac:dyDescent="0.2">
      <c r="A370" s="18"/>
      <c r="B370" s="18"/>
      <c r="C370" s="18"/>
      <c r="D370" s="18" t="s">
        <v>540</v>
      </c>
      <c r="E370" s="19" t="s">
        <v>541</v>
      </c>
      <c r="F370" s="9">
        <f>Source!AQ572</f>
        <v>0.36</v>
      </c>
      <c r="G370" s="21"/>
      <c r="H370" s="20" t="str">
        <f>Source!DI572</f>
        <v>)*1,04</v>
      </c>
      <c r="I370" s="9">
        <f>Source!AV572</f>
        <v>1</v>
      </c>
      <c r="J370" s="9"/>
      <c r="K370" s="21"/>
      <c r="L370" s="21">
        <f>Source!U572</f>
        <v>19.0944</v>
      </c>
    </row>
    <row r="371" spans="1:22" ht="15" x14ac:dyDescent="0.25">
      <c r="A371" s="24"/>
      <c r="B371" s="24"/>
      <c r="C371" s="24"/>
      <c r="D371" s="24"/>
      <c r="E371" s="24"/>
      <c r="F371" s="24"/>
      <c r="G371" s="24"/>
      <c r="H371" s="24"/>
      <c r="I371" s="24"/>
      <c r="J371" s="44">
        <f>K366+K367+K368+K369</f>
        <v>19810.21</v>
      </c>
      <c r="K371" s="44"/>
      <c r="L371" s="25">
        <f>IF(Source!I572&lt;&gt;0, ROUND(J371/Source!I572, 2), 0)</f>
        <v>388.44</v>
      </c>
      <c r="P371" s="23">
        <f>J371</f>
        <v>19810.21</v>
      </c>
    </row>
    <row r="372" spans="1:22" ht="236.25" x14ac:dyDescent="0.2">
      <c r="A372" s="18">
        <v>38</v>
      </c>
      <c r="B372" s="18">
        <v>38</v>
      </c>
      <c r="C372" s="18" t="s">
        <v>546</v>
      </c>
      <c r="D372" s="18" t="s">
        <v>552</v>
      </c>
      <c r="E372" s="19" t="str">
        <f>Source!H573</f>
        <v>шт.</v>
      </c>
      <c r="F372" s="9">
        <f>Source!I573</f>
        <v>880</v>
      </c>
      <c r="G372" s="21"/>
      <c r="H372" s="20"/>
      <c r="I372" s="9"/>
      <c r="J372" s="9"/>
      <c r="K372" s="21"/>
      <c r="L372" s="21"/>
      <c r="Q372">
        <f>ROUND((Source!BZ573/100)*ROUND((Source!AF573*Source!AV573)*Source!I573, 2), 2)</f>
        <v>64826.36</v>
      </c>
      <c r="R372">
        <f>Source!X573</f>
        <v>64826.36</v>
      </c>
      <c r="S372">
        <f>ROUND((Source!CA573/100)*ROUND((Source!AF573*Source!AV573)*Source!I573, 2), 2)</f>
        <v>9260.91</v>
      </c>
      <c r="T372">
        <f>Source!Y573</f>
        <v>9260.91</v>
      </c>
      <c r="U372">
        <f>ROUND((175/100)*ROUND((Source!AE573*Source!AV573)*Source!I573, 2), 2)</f>
        <v>0</v>
      </c>
      <c r="V372">
        <f>ROUND((108/100)*ROUND(Source!CS573*Source!I573, 2), 2)</f>
        <v>0</v>
      </c>
    </row>
    <row r="373" spans="1:22" x14ac:dyDescent="0.2">
      <c r="D373" s="22" t="str">
        <f>"Объем: "&amp;Source!I573&amp;"=684+"&amp;"196"</f>
        <v>Объем: 880=684+196</v>
      </c>
    </row>
    <row r="374" spans="1:22" ht="14.25" x14ac:dyDescent="0.2">
      <c r="A374" s="18"/>
      <c r="B374" s="18"/>
      <c r="C374" s="18"/>
      <c r="D374" s="18" t="s">
        <v>536</v>
      </c>
      <c r="E374" s="19"/>
      <c r="F374" s="9"/>
      <c r="G374" s="21">
        <f>Source!AO573</f>
        <v>101.19</v>
      </c>
      <c r="H374" s="20" t="str">
        <f>Source!DG573</f>
        <v>*1,04</v>
      </c>
      <c r="I374" s="9">
        <f>Source!AV573</f>
        <v>1</v>
      </c>
      <c r="J374" s="9">
        <f>IF(Source!BA573&lt;&gt; 0, Source!BA573, 1)</f>
        <v>1</v>
      </c>
      <c r="K374" s="21">
        <f>Source!S573</f>
        <v>92609.09</v>
      </c>
      <c r="L374" s="21"/>
    </row>
    <row r="375" spans="1:22" ht="14.25" x14ac:dyDescent="0.2">
      <c r="A375" s="18"/>
      <c r="B375" s="18"/>
      <c r="C375" s="18"/>
      <c r="D375" s="18" t="s">
        <v>544</v>
      </c>
      <c r="E375" s="19"/>
      <c r="F375" s="9"/>
      <c r="G375" s="21">
        <f>Source!AL573</f>
        <v>1.26</v>
      </c>
      <c r="H375" s="20" t="str">
        <f>Source!DD573</f>
        <v/>
      </c>
      <c r="I375" s="9">
        <f>Source!AW573</f>
        <v>1</v>
      </c>
      <c r="J375" s="9">
        <f>IF(Source!BC573&lt;&gt; 0, Source!BC573, 1)</f>
        <v>1</v>
      </c>
      <c r="K375" s="21">
        <f>Source!P573</f>
        <v>1108.8</v>
      </c>
      <c r="L375" s="21"/>
    </row>
    <row r="376" spans="1:22" ht="14.25" x14ac:dyDescent="0.2">
      <c r="A376" s="18"/>
      <c r="B376" s="18"/>
      <c r="C376" s="18"/>
      <c r="D376" s="18" t="s">
        <v>537</v>
      </c>
      <c r="E376" s="19" t="s">
        <v>538</v>
      </c>
      <c r="F376" s="9">
        <f>Source!AT573</f>
        <v>70</v>
      </c>
      <c r="G376" s="21"/>
      <c r="H376" s="20"/>
      <c r="I376" s="9"/>
      <c r="J376" s="9"/>
      <c r="K376" s="21">
        <f>SUM(R372:R375)</f>
        <v>64826.36</v>
      </c>
      <c r="L376" s="21"/>
    </row>
    <row r="377" spans="1:22" ht="14.25" x14ac:dyDescent="0.2">
      <c r="A377" s="18"/>
      <c r="B377" s="18"/>
      <c r="C377" s="18"/>
      <c r="D377" s="18" t="s">
        <v>539</v>
      </c>
      <c r="E377" s="19" t="s">
        <v>538</v>
      </c>
      <c r="F377" s="9">
        <f>Source!AU573</f>
        <v>10</v>
      </c>
      <c r="G377" s="21"/>
      <c r="H377" s="20"/>
      <c r="I377" s="9"/>
      <c r="J377" s="9"/>
      <c r="K377" s="21">
        <f>SUM(T372:T376)</f>
        <v>9260.91</v>
      </c>
      <c r="L377" s="21"/>
    </row>
    <row r="378" spans="1:22" ht="14.25" x14ac:dyDescent="0.2">
      <c r="A378" s="18"/>
      <c r="B378" s="18"/>
      <c r="C378" s="18"/>
      <c r="D378" s="18" t="s">
        <v>540</v>
      </c>
      <c r="E378" s="19" t="s">
        <v>541</v>
      </c>
      <c r="F378" s="9">
        <f>Source!AQ573</f>
        <v>0.18</v>
      </c>
      <c r="G378" s="21"/>
      <c r="H378" s="20" t="str">
        <f>Source!DI573</f>
        <v>*1,04</v>
      </c>
      <c r="I378" s="9">
        <f>Source!AV573</f>
        <v>1</v>
      </c>
      <c r="J378" s="9"/>
      <c r="K378" s="21"/>
      <c r="L378" s="21">
        <f>Source!U573</f>
        <v>164.73600000000002</v>
      </c>
    </row>
    <row r="379" spans="1:22" ht="15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44">
        <f>K374+K375+K376+K377</f>
        <v>167805.16</v>
      </c>
      <c r="K379" s="44"/>
      <c r="L379" s="25">
        <f>IF(Source!I573&lt;&gt;0, ROUND(J379/Source!I573, 2), 0)</f>
        <v>190.69</v>
      </c>
      <c r="P379" s="23">
        <f>J379</f>
        <v>167805.16</v>
      </c>
    </row>
    <row r="380" spans="1:22" ht="28.5" x14ac:dyDescent="0.2">
      <c r="A380" s="18">
        <v>39</v>
      </c>
      <c r="B380" s="18">
        <v>39</v>
      </c>
      <c r="C380" s="18" t="str">
        <f>Source!F575</f>
        <v>3.1-2303-6-1/1</v>
      </c>
      <c r="D380" s="18" t="str">
        <f>Source!G575</f>
        <v>Техническое обслуживание монитора/ Сенсорная панель AWADA 15,6"</v>
      </c>
      <c r="E380" s="19" t="str">
        <f>Source!H575</f>
        <v>шт.</v>
      </c>
      <c r="F380" s="9">
        <f>Source!I575</f>
        <v>1</v>
      </c>
      <c r="G380" s="21"/>
      <c r="H380" s="20"/>
      <c r="I380" s="9"/>
      <c r="J380" s="9"/>
      <c r="K380" s="21"/>
      <c r="L380" s="21"/>
      <c r="Q380">
        <f>ROUND((Source!BZ575/100)*ROUND((Source!AF575*Source!AV575)*Source!I575, 2), 2)</f>
        <v>904.11</v>
      </c>
      <c r="R380">
        <f>Source!X575</f>
        <v>904.11</v>
      </c>
      <c r="S380">
        <f>ROUND((Source!CA575/100)*ROUND((Source!AF575*Source!AV575)*Source!I575, 2), 2)</f>
        <v>129.16</v>
      </c>
      <c r="T380">
        <f>Source!Y575</f>
        <v>129.16</v>
      </c>
      <c r="U380">
        <f>ROUND((175/100)*ROUND((Source!AE575*Source!AV575)*Source!I575, 2), 2)</f>
        <v>144.59</v>
      </c>
      <c r="V380">
        <f>ROUND((108/100)*ROUND(Source!CS575*Source!I575, 2), 2)</f>
        <v>89.23</v>
      </c>
    </row>
    <row r="381" spans="1:22" ht="14.25" x14ac:dyDescent="0.2">
      <c r="A381" s="18"/>
      <c r="B381" s="18"/>
      <c r="C381" s="18"/>
      <c r="D381" s="18" t="s">
        <v>536</v>
      </c>
      <c r="E381" s="19"/>
      <c r="F381" s="9"/>
      <c r="G381" s="21">
        <f>Source!AO575</f>
        <v>1291.58</v>
      </c>
      <c r="H381" s="20" t="str">
        <f>Source!DG575</f>
        <v/>
      </c>
      <c r="I381" s="9">
        <f>Source!AV575</f>
        <v>1</v>
      </c>
      <c r="J381" s="9">
        <f>IF(Source!BA575&lt;&gt; 0, Source!BA575, 1)</f>
        <v>1</v>
      </c>
      <c r="K381" s="21">
        <f>Source!S575</f>
        <v>1291.58</v>
      </c>
      <c r="L381" s="21"/>
    </row>
    <row r="382" spans="1:22" ht="14.25" x14ac:dyDescent="0.2">
      <c r="A382" s="18"/>
      <c r="B382" s="18"/>
      <c r="C382" s="18"/>
      <c r="D382" s="18" t="s">
        <v>542</v>
      </c>
      <c r="E382" s="19"/>
      <c r="F382" s="9"/>
      <c r="G382" s="21">
        <f>Source!AM575</f>
        <v>130.30000000000001</v>
      </c>
      <c r="H382" s="20" t="str">
        <f>Source!DE575</f>
        <v/>
      </c>
      <c r="I382" s="9">
        <f>Source!AV575</f>
        <v>1</v>
      </c>
      <c r="J382" s="9">
        <f>IF(Source!BB575&lt;&gt; 0, Source!BB575, 1)</f>
        <v>1</v>
      </c>
      <c r="K382" s="21">
        <f>Source!Q575</f>
        <v>130.30000000000001</v>
      </c>
      <c r="L382" s="21"/>
    </row>
    <row r="383" spans="1:22" ht="14.25" x14ac:dyDescent="0.2">
      <c r="A383" s="18"/>
      <c r="B383" s="18"/>
      <c r="C383" s="18"/>
      <c r="D383" s="18" t="s">
        <v>543</v>
      </c>
      <c r="E383" s="19"/>
      <c r="F383" s="9"/>
      <c r="G383" s="21">
        <f>Source!AN575</f>
        <v>82.62</v>
      </c>
      <c r="H383" s="20" t="str">
        <f>Source!DF575</f>
        <v/>
      </c>
      <c r="I383" s="9">
        <f>Source!AV575</f>
        <v>1</v>
      </c>
      <c r="J383" s="9">
        <f>IF(Source!BS575&lt;&gt; 0, Source!BS575, 1)</f>
        <v>1</v>
      </c>
      <c r="K383" s="26">
        <f>Source!R575</f>
        <v>82.62</v>
      </c>
      <c r="L383" s="21"/>
    </row>
    <row r="384" spans="1:22" ht="14.25" x14ac:dyDescent="0.2">
      <c r="A384" s="18"/>
      <c r="B384" s="18"/>
      <c r="C384" s="18"/>
      <c r="D384" s="18" t="s">
        <v>544</v>
      </c>
      <c r="E384" s="19"/>
      <c r="F384" s="9"/>
      <c r="G384" s="21">
        <f>Source!AL575</f>
        <v>3.06</v>
      </c>
      <c r="H384" s="20" t="str">
        <f>Source!DD575</f>
        <v/>
      </c>
      <c r="I384" s="9">
        <f>Source!AW575</f>
        <v>1</v>
      </c>
      <c r="J384" s="9">
        <f>IF(Source!BC575&lt;&gt; 0, Source!BC575, 1)</f>
        <v>1</v>
      </c>
      <c r="K384" s="21">
        <f>Source!P575</f>
        <v>3.06</v>
      </c>
      <c r="L384" s="21"/>
    </row>
    <row r="385" spans="1:22" ht="14.25" x14ac:dyDescent="0.2">
      <c r="A385" s="18"/>
      <c r="B385" s="18"/>
      <c r="C385" s="18"/>
      <c r="D385" s="18" t="s">
        <v>537</v>
      </c>
      <c r="E385" s="19" t="s">
        <v>538</v>
      </c>
      <c r="F385" s="9">
        <f>Source!AT575</f>
        <v>70</v>
      </c>
      <c r="G385" s="21"/>
      <c r="H385" s="20"/>
      <c r="I385" s="9"/>
      <c r="J385" s="9"/>
      <c r="K385" s="21">
        <f>SUM(R380:R384)</f>
        <v>904.11</v>
      </c>
      <c r="L385" s="21"/>
    </row>
    <row r="386" spans="1:22" ht="14.25" x14ac:dyDescent="0.2">
      <c r="A386" s="18"/>
      <c r="B386" s="18"/>
      <c r="C386" s="18"/>
      <c r="D386" s="18" t="s">
        <v>539</v>
      </c>
      <c r="E386" s="19" t="s">
        <v>538</v>
      </c>
      <c r="F386" s="9">
        <f>Source!AU575</f>
        <v>10</v>
      </c>
      <c r="G386" s="21"/>
      <c r="H386" s="20"/>
      <c r="I386" s="9"/>
      <c r="J386" s="9"/>
      <c r="K386" s="21">
        <f>SUM(T380:T385)</f>
        <v>129.16</v>
      </c>
      <c r="L386" s="21"/>
    </row>
    <row r="387" spans="1:22" ht="14.25" x14ac:dyDescent="0.2">
      <c r="A387" s="18"/>
      <c r="B387" s="18"/>
      <c r="C387" s="18"/>
      <c r="D387" s="18" t="s">
        <v>545</v>
      </c>
      <c r="E387" s="19" t="s">
        <v>538</v>
      </c>
      <c r="F387" s="9">
        <f>108</f>
        <v>108</v>
      </c>
      <c r="G387" s="21"/>
      <c r="H387" s="20"/>
      <c r="I387" s="9"/>
      <c r="J387" s="9"/>
      <c r="K387" s="21">
        <f>SUM(V380:V386)</f>
        <v>89.23</v>
      </c>
      <c r="L387" s="21"/>
    </row>
    <row r="388" spans="1:22" ht="14.25" x14ac:dyDescent="0.2">
      <c r="A388" s="18"/>
      <c r="B388" s="18"/>
      <c r="C388" s="18"/>
      <c r="D388" s="18" t="s">
        <v>540</v>
      </c>
      <c r="E388" s="19" t="s">
        <v>541</v>
      </c>
      <c r="F388" s="9">
        <f>Source!AQ575</f>
        <v>1.82</v>
      </c>
      <c r="G388" s="21"/>
      <c r="H388" s="20" t="str">
        <f>Source!DI575</f>
        <v/>
      </c>
      <c r="I388" s="9">
        <f>Source!AV575</f>
        <v>1</v>
      </c>
      <c r="J388" s="9"/>
      <c r="K388" s="21"/>
      <c r="L388" s="21">
        <f>Source!U575</f>
        <v>1.82</v>
      </c>
    </row>
    <row r="389" spans="1:22" ht="15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44">
        <f>K381+K382+K384+K385+K386+K387</f>
        <v>2547.4399999999996</v>
      </c>
      <c r="K389" s="44"/>
      <c r="L389" s="25">
        <f>IF(Source!I575&lt;&gt;0, ROUND(J389/Source!I575, 2), 0)</f>
        <v>2547.44</v>
      </c>
      <c r="P389" s="23">
        <f>J389</f>
        <v>2547.4399999999996</v>
      </c>
    </row>
    <row r="391" spans="1:22" ht="15" x14ac:dyDescent="0.25">
      <c r="A391" s="43" t="str">
        <f>CONCATENATE("Итого по подразделу: ",IF(Source!G577&lt;&gt;"Новый подраздел", Source!G577, ""))</f>
        <v>Итого по подразделу: Осветительная арматура</v>
      </c>
      <c r="B391" s="43"/>
      <c r="C391" s="43"/>
      <c r="D391" s="43"/>
      <c r="E391" s="43"/>
      <c r="F391" s="43"/>
      <c r="G391" s="43"/>
      <c r="H391" s="43"/>
      <c r="I391" s="43"/>
      <c r="J391" s="41">
        <f>SUM(P341:P390)</f>
        <v>275662.23000000004</v>
      </c>
      <c r="K391" s="42"/>
      <c r="L391" s="27"/>
    </row>
    <row r="394" spans="1:22" ht="16.5" x14ac:dyDescent="0.25">
      <c r="A394" s="45" t="str">
        <f>CONCATENATE("Подраздел: ",IF(Source!G607&lt;&gt;"Новый подраздел", Source!G607, ""))</f>
        <v>Подраздел: Электроустановочные изделия</v>
      </c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22" ht="85.5" x14ac:dyDescent="0.2">
      <c r="A395" s="18">
        <v>40</v>
      </c>
      <c r="B395" s="18">
        <v>40</v>
      </c>
      <c r="C395" s="18" t="str">
        <f>Source!F611</f>
        <v>1.23-2103-6-1/1</v>
      </c>
      <c r="D395" s="18" t="str">
        <f>Source!G611</f>
        <v>Техническое обслуживание выключателей поплавковых /Выключатель одноклавишный IP20 10А 250В винтовые зажимы накладной монтаж - чёрный матовый Legrand Quteo</v>
      </c>
      <c r="E395" s="19" t="str">
        <f>Source!H611</f>
        <v>100 шт.</v>
      </c>
      <c r="F395" s="9">
        <f>Source!I611</f>
        <v>0.17</v>
      </c>
      <c r="G395" s="21"/>
      <c r="H395" s="20"/>
      <c r="I395" s="9"/>
      <c r="J395" s="9"/>
      <c r="K395" s="21"/>
      <c r="L395" s="21"/>
      <c r="Q395">
        <f>ROUND((Source!BZ611/100)*ROUND((Source!AF611*Source!AV611)*Source!I611, 2), 2)</f>
        <v>1528.86</v>
      </c>
      <c r="R395">
        <f>Source!X611</f>
        <v>1528.86</v>
      </c>
      <c r="S395">
        <f>ROUND((Source!CA611/100)*ROUND((Source!AF611*Source!AV611)*Source!I611, 2), 2)</f>
        <v>218.41</v>
      </c>
      <c r="T395">
        <f>Source!Y611</f>
        <v>218.41</v>
      </c>
      <c r="U395">
        <f>ROUND((175/100)*ROUND((Source!AE611*Source!AV611)*Source!I611, 2), 2)</f>
        <v>688.22</v>
      </c>
      <c r="V395">
        <f>ROUND((108/100)*ROUND(Source!CS611*Source!I611, 2), 2)</f>
        <v>424.73</v>
      </c>
    </row>
    <row r="396" spans="1:22" x14ac:dyDescent="0.2">
      <c r="D396" s="22" t="str">
        <f>"Объем: "&amp;Source!I611&amp;"=(17)/"&amp;"100"</f>
        <v>Объем: 0,17=(17)/100</v>
      </c>
    </row>
    <row r="397" spans="1:22" ht="14.25" x14ac:dyDescent="0.2">
      <c r="A397" s="18"/>
      <c r="B397" s="18"/>
      <c r="C397" s="18"/>
      <c r="D397" s="18" t="s">
        <v>536</v>
      </c>
      <c r="E397" s="19"/>
      <c r="F397" s="9"/>
      <c r="G397" s="21">
        <f>Source!AO611</f>
        <v>3211.89</v>
      </c>
      <c r="H397" s="20" t="str">
        <f>Source!DG611</f>
        <v>*4</v>
      </c>
      <c r="I397" s="9">
        <f>Source!AV611</f>
        <v>1</v>
      </c>
      <c r="J397" s="9">
        <f>IF(Source!BA611&lt;&gt; 0, Source!BA611, 1)</f>
        <v>1</v>
      </c>
      <c r="K397" s="21">
        <f>Source!S611</f>
        <v>2184.09</v>
      </c>
      <c r="L397" s="21"/>
    </row>
    <row r="398" spans="1:22" ht="14.25" x14ac:dyDescent="0.2">
      <c r="A398" s="18"/>
      <c r="B398" s="18"/>
      <c r="C398" s="18"/>
      <c r="D398" s="18" t="s">
        <v>542</v>
      </c>
      <c r="E398" s="19"/>
      <c r="F398" s="9"/>
      <c r="G398" s="21">
        <f>Source!AM611</f>
        <v>912.11</v>
      </c>
      <c r="H398" s="20" t="str">
        <f>Source!DE611</f>
        <v>*4</v>
      </c>
      <c r="I398" s="9">
        <f>Source!AV611</f>
        <v>1</v>
      </c>
      <c r="J398" s="9">
        <f>IF(Source!BB611&lt;&gt; 0, Source!BB611, 1)</f>
        <v>1</v>
      </c>
      <c r="K398" s="21">
        <f>Source!Q611</f>
        <v>620.23</v>
      </c>
      <c r="L398" s="21"/>
    </row>
    <row r="399" spans="1:22" ht="14.25" x14ac:dyDescent="0.2">
      <c r="A399" s="18"/>
      <c r="B399" s="18"/>
      <c r="C399" s="18"/>
      <c r="D399" s="18" t="s">
        <v>543</v>
      </c>
      <c r="E399" s="19"/>
      <c r="F399" s="9"/>
      <c r="G399" s="21">
        <f>Source!AN611</f>
        <v>578.34</v>
      </c>
      <c r="H399" s="20" t="str">
        <f>Source!DF611</f>
        <v>*4</v>
      </c>
      <c r="I399" s="9">
        <f>Source!AV611</f>
        <v>1</v>
      </c>
      <c r="J399" s="9">
        <f>IF(Source!BS611&lt;&gt; 0, Source!BS611, 1)</f>
        <v>1</v>
      </c>
      <c r="K399" s="26">
        <f>Source!R611</f>
        <v>393.27</v>
      </c>
      <c r="L399" s="21"/>
    </row>
    <row r="400" spans="1:22" ht="14.25" x14ac:dyDescent="0.2">
      <c r="A400" s="18"/>
      <c r="B400" s="18"/>
      <c r="C400" s="18"/>
      <c r="D400" s="18" t="s">
        <v>544</v>
      </c>
      <c r="E400" s="19"/>
      <c r="F400" s="9"/>
      <c r="G400" s="21">
        <f>Source!AL611</f>
        <v>0.94</v>
      </c>
      <c r="H400" s="20" t="str">
        <f>Source!DD611</f>
        <v>*4</v>
      </c>
      <c r="I400" s="9">
        <f>Source!AW611</f>
        <v>1</v>
      </c>
      <c r="J400" s="9">
        <f>IF(Source!BC611&lt;&gt; 0, Source!BC611, 1)</f>
        <v>1</v>
      </c>
      <c r="K400" s="21">
        <f>Source!P611</f>
        <v>0.64</v>
      </c>
      <c r="L400" s="21"/>
    </row>
    <row r="401" spans="1:22" ht="14.25" x14ac:dyDescent="0.2">
      <c r="A401" s="18"/>
      <c r="B401" s="18"/>
      <c r="C401" s="18"/>
      <c r="D401" s="18" t="s">
        <v>537</v>
      </c>
      <c r="E401" s="19" t="s">
        <v>538</v>
      </c>
      <c r="F401" s="9">
        <f>Source!AT611</f>
        <v>70</v>
      </c>
      <c r="G401" s="21"/>
      <c r="H401" s="20"/>
      <c r="I401" s="9"/>
      <c r="J401" s="9"/>
      <c r="K401" s="21">
        <f>SUM(R395:R400)</f>
        <v>1528.86</v>
      </c>
      <c r="L401" s="21"/>
    </row>
    <row r="402" spans="1:22" ht="14.25" x14ac:dyDescent="0.2">
      <c r="A402" s="18"/>
      <c r="B402" s="18"/>
      <c r="C402" s="18"/>
      <c r="D402" s="18" t="s">
        <v>539</v>
      </c>
      <c r="E402" s="19" t="s">
        <v>538</v>
      </c>
      <c r="F402" s="9">
        <f>Source!AU611</f>
        <v>10</v>
      </c>
      <c r="G402" s="21"/>
      <c r="H402" s="20"/>
      <c r="I402" s="9"/>
      <c r="J402" s="9"/>
      <c r="K402" s="21">
        <f>SUM(T395:T401)</f>
        <v>218.41</v>
      </c>
      <c r="L402" s="21"/>
    </row>
    <row r="403" spans="1:22" ht="14.25" x14ac:dyDescent="0.2">
      <c r="A403" s="18"/>
      <c r="B403" s="18"/>
      <c r="C403" s="18"/>
      <c r="D403" s="18" t="s">
        <v>545</v>
      </c>
      <c r="E403" s="19" t="s">
        <v>538</v>
      </c>
      <c r="F403" s="9">
        <f>108</f>
        <v>108</v>
      </c>
      <c r="G403" s="21"/>
      <c r="H403" s="20"/>
      <c r="I403" s="9"/>
      <c r="J403" s="9"/>
      <c r="K403" s="21">
        <f>SUM(V395:V402)</f>
        <v>424.73</v>
      </c>
      <c r="L403" s="21"/>
    </row>
    <row r="404" spans="1:22" ht="14.25" x14ac:dyDescent="0.2">
      <c r="A404" s="18"/>
      <c r="B404" s="18"/>
      <c r="C404" s="18"/>
      <c r="D404" s="18" t="s">
        <v>540</v>
      </c>
      <c r="E404" s="19" t="s">
        <v>541</v>
      </c>
      <c r="F404" s="9">
        <f>Source!AQ611</f>
        <v>6</v>
      </c>
      <c r="G404" s="21"/>
      <c r="H404" s="20" t="str">
        <f>Source!DI611</f>
        <v>*4</v>
      </c>
      <c r="I404" s="9">
        <f>Source!AV611</f>
        <v>1</v>
      </c>
      <c r="J404" s="9"/>
      <c r="K404" s="21"/>
      <c r="L404" s="21">
        <f>Source!U611</f>
        <v>4.08</v>
      </c>
    </row>
    <row r="405" spans="1:22" ht="15" x14ac:dyDescent="0.25">
      <c r="A405" s="24"/>
      <c r="B405" s="24"/>
      <c r="C405" s="24"/>
      <c r="D405" s="24"/>
      <c r="E405" s="24"/>
      <c r="F405" s="24"/>
      <c r="G405" s="24"/>
      <c r="H405" s="24"/>
      <c r="I405" s="24"/>
      <c r="J405" s="44">
        <f>K397+K398+K400+K401+K402+K403</f>
        <v>4976.9599999999991</v>
      </c>
      <c r="K405" s="44"/>
      <c r="L405" s="25">
        <f>IF(Source!I611&lt;&gt;0, ROUND(J405/Source!I611, 2), 0)</f>
        <v>29276.240000000002</v>
      </c>
      <c r="P405" s="23">
        <f>J405</f>
        <v>4976.9599999999991</v>
      </c>
    </row>
    <row r="406" spans="1:22" ht="71.25" x14ac:dyDescent="0.2">
      <c r="A406" s="18">
        <v>41</v>
      </c>
      <c r="B406" s="18">
        <v>41</v>
      </c>
      <c r="C406" s="18" t="str">
        <f>Source!F614</f>
        <v>1.21-2303-37-1/1</v>
      </c>
      <c r="D406" s="18" t="str">
        <f>Source!G614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406" s="19" t="str">
        <f>Source!H614</f>
        <v>10 шт.</v>
      </c>
      <c r="F406" s="9">
        <f>Source!I614</f>
        <v>3.1</v>
      </c>
      <c r="G406" s="21"/>
      <c r="H406" s="20"/>
      <c r="I406" s="9"/>
      <c r="J406" s="9"/>
      <c r="K406" s="21"/>
      <c r="L406" s="21"/>
      <c r="Q406">
        <f>ROUND((Source!BZ614/100)*ROUND((Source!AF614*Source!AV614)*Source!I614, 2), 2)</f>
        <v>241.2</v>
      </c>
      <c r="R406">
        <f>Source!X614</f>
        <v>241.2</v>
      </c>
      <c r="S406">
        <f>ROUND((Source!CA614/100)*ROUND((Source!AF614*Source!AV614)*Source!I614, 2), 2)</f>
        <v>34.46</v>
      </c>
      <c r="T406">
        <f>Source!Y614</f>
        <v>34.46</v>
      </c>
      <c r="U406">
        <f>ROUND((175/100)*ROUND((Source!AE614*Source!AV614)*Source!I614, 2), 2)</f>
        <v>0</v>
      </c>
      <c r="V406">
        <f>ROUND((108/100)*ROUND(Source!CS614*Source!I614, 2), 2)</f>
        <v>0</v>
      </c>
    </row>
    <row r="407" spans="1:22" x14ac:dyDescent="0.2">
      <c r="D407" s="22" t="str">
        <f>"Объем: "&amp;Source!I614&amp;"=(30+"&amp;"1)/"&amp;"10"</f>
        <v>Объем: 3,1=(30+1)/10</v>
      </c>
    </row>
    <row r="408" spans="1:22" ht="14.25" x14ac:dyDescent="0.2">
      <c r="A408" s="18"/>
      <c r="B408" s="18"/>
      <c r="C408" s="18"/>
      <c r="D408" s="18" t="s">
        <v>536</v>
      </c>
      <c r="E408" s="19"/>
      <c r="F408" s="9"/>
      <c r="G408" s="21">
        <f>Source!AO614</f>
        <v>111.15</v>
      </c>
      <c r="H408" s="20" t="str">
        <f>Source!DG614</f>
        <v/>
      </c>
      <c r="I408" s="9">
        <f>Source!AV614</f>
        <v>1</v>
      </c>
      <c r="J408" s="9">
        <f>IF(Source!BA614&lt;&gt; 0, Source!BA614, 1)</f>
        <v>1</v>
      </c>
      <c r="K408" s="21">
        <f>Source!S614</f>
        <v>344.57</v>
      </c>
      <c r="L408" s="21"/>
    </row>
    <row r="409" spans="1:22" ht="14.25" x14ac:dyDescent="0.2">
      <c r="A409" s="18"/>
      <c r="B409" s="18"/>
      <c r="C409" s="18"/>
      <c r="D409" s="18" t="s">
        <v>544</v>
      </c>
      <c r="E409" s="19"/>
      <c r="F409" s="9"/>
      <c r="G409" s="21">
        <f>Source!AL614</f>
        <v>6.3</v>
      </c>
      <c r="H409" s="20" t="str">
        <f>Source!DD614</f>
        <v/>
      </c>
      <c r="I409" s="9">
        <f>Source!AW614</f>
        <v>1</v>
      </c>
      <c r="J409" s="9">
        <f>IF(Source!BC614&lt;&gt; 0, Source!BC614, 1)</f>
        <v>1</v>
      </c>
      <c r="K409" s="21">
        <f>Source!P614</f>
        <v>19.53</v>
      </c>
      <c r="L409" s="21"/>
    </row>
    <row r="410" spans="1:22" ht="14.25" x14ac:dyDescent="0.2">
      <c r="A410" s="18"/>
      <c r="B410" s="18"/>
      <c r="C410" s="18"/>
      <c r="D410" s="18" t="s">
        <v>537</v>
      </c>
      <c r="E410" s="19" t="s">
        <v>538</v>
      </c>
      <c r="F410" s="9">
        <f>Source!AT614</f>
        <v>70</v>
      </c>
      <c r="G410" s="21"/>
      <c r="H410" s="20"/>
      <c r="I410" s="9"/>
      <c r="J410" s="9"/>
      <c r="K410" s="21">
        <f>SUM(R406:R409)</f>
        <v>241.2</v>
      </c>
      <c r="L410" s="21"/>
    </row>
    <row r="411" spans="1:22" ht="14.25" x14ac:dyDescent="0.2">
      <c r="A411" s="18"/>
      <c r="B411" s="18"/>
      <c r="C411" s="18"/>
      <c r="D411" s="18" t="s">
        <v>539</v>
      </c>
      <c r="E411" s="19" t="s">
        <v>538</v>
      </c>
      <c r="F411" s="9">
        <f>Source!AU614</f>
        <v>10</v>
      </c>
      <c r="G411" s="21"/>
      <c r="H411" s="20"/>
      <c r="I411" s="9"/>
      <c r="J411" s="9"/>
      <c r="K411" s="21">
        <f>SUM(T406:T410)</f>
        <v>34.46</v>
      </c>
      <c r="L411" s="21"/>
    </row>
    <row r="412" spans="1:22" ht="14.25" x14ac:dyDescent="0.2">
      <c r="A412" s="18"/>
      <c r="B412" s="18"/>
      <c r="C412" s="18"/>
      <c r="D412" s="18" t="s">
        <v>540</v>
      </c>
      <c r="E412" s="19" t="s">
        <v>541</v>
      </c>
      <c r="F412" s="9">
        <f>Source!AQ614</f>
        <v>0.18</v>
      </c>
      <c r="G412" s="21"/>
      <c r="H412" s="20" t="str">
        <f>Source!DI614</f>
        <v/>
      </c>
      <c r="I412" s="9">
        <f>Source!AV614</f>
        <v>1</v>
      </c>
      <c r="J412" s="9"/>
      <c r="K412" s="21"/>
      <c r="L412" s="21">
        <f>Source!U614</f>
        <v>0.55799999999999994</v>
      </c>
    </row>
    <row r="413" spans="1:22" ht="15" x14ac:dyDescent="0.25">
      <c r="A413" s="24"/>
      <c r="B413" s="24"/>
      <c r="C413" s="24"/>
      <c r="D413" s="24"/>
      <c r="E413" s="24"/>
      <c r="F413" s="24"/>
      <c r="G413" s="24"/>
      <c r="H413" s="24"/>
      <c r="I413" s="24"/>
      <c r="J413" s="44">
        <f>K408+K409+K410+K411</f>
        <v>639.76</v>
      </c>
      <c r="K413" s="44"/>
      <c r="L413" s="25">
        <f>IF(Source!I614&lt;&gt;0, ROUND(J413/Source!I614, 2), 0)</f>
        <v>206.37</v>
      </c>
      <c r="P413" s="23">
        <f>J413</f>
        <v>639.76</v>
      </c>
    </row>
    <row r="414" spans="1:22" ht="57" x14ac:dyDescent="0.2">
      <c r="A414" s="18">
        <v>42</v>
      </c>
      <c r="B414" s="18">
        <v>42</v>
      </c>
      <c r="C414" s="18" t="str">
        <f>Source!F615</f>
        <v>1.21-2303-31-1/1</v>
      </c>
      <c r="D414" s="18" t="str">
        <f>Source!G615</f>
        <v>Техническое обслуживание коробки клеммной соединительной, с количеством клемм до 20 /PLEXO Коробка нар 180x140x86 IP55 с замк</v>
      </c>
      <c r="E414" s="19" t="str">
        <f>Source!H615</f>
        <v>шт.</v>
      </c>
      <c r="F414" s="9">
        <f>Source!I615</f>
        <v>1</v>
      </c>
      <c r="G414" s="21"/>
      <c r="H414" s="20"/>
      <c r="I414" s="9"/>
      <c r="J414" s="9"/>
      <c r="K414" s="21"/>
      <c r="L414" s="21"/>
      <c r="Q414">
        <f>ROUND((Source!BZ615/100)*ROUND((Source!AF615*Source!AV615)*Source!I615, 2), 2)</f>
        <v>414.95</v>
      </c>
      <c r="R414">
        <f>Source!X615</f>
        <v>414.95</v>
      </c>
      <c r="S414">
        <f>ROUND((Source!CA615/100)*ROUND((Source!AF615*Source!AV615)*Source!I615, 2), 2)</f>
        <v>59.28</v>
      </c>
      <c r="T414">
        <f>Source!Y615</f>
        <v>59.28</v>
      </c>
      <c r="U414">
        <f>ROUND((175/100)*ROUND((Source!AE615*Source!AV615)*Source!I615, 2), 2)</f>
        <v>0</v>
      </c>
      <c r="V414">
        <f>ROUND((108/100)*ROUND(Source!CS615*Source!I615, 2), 2)</f>
        <v>0</v>
      </c>
    </row>
    <row r="415" spans="1:22" ht="14.25" x14ac:dyDescent="0.2">
      <c r="A415" s="18"/>
      <c r="B415" s="18"/>
      <c r="C415" s="18"/>
      <c r="D415" s="18" t="s">
        <v>536</v>
      </c>
      <c r="E415" s="19"/>
      <c r="F415" s="9"/>
      <c r="G415" s="21">
        <f>Source!AO615</f>
        <v>592.79</v>
      </c>
      <c r="H415" s="20" t="str">
        <f>Source!DG615</f>
        <v/>
      </c>
      <c r="I415" s="9">
        <f>Source!AV615</f>
        <v>1</v>
      </c>
      <c r="J415" s="9">
        <f>IF(Source!BA615&lt;&gt; 0, Source!BA615, 1)</f>
        <v>1</v>
      </c>
      <c r="K415" s="21">
        <f>Source!S615</f>
        <v>592.79</v>
      </c>
      <c r="L415" s="21"/>
    </row>
    <row r="416" spans="1:22" ht="14.25" x14ac:dyDescent="0.2">
      <c r="A416" s="18"/>
      <c r="B416" s="18"/>
      <c r="C416" s="18"/>
      <c r="D416" s="18" t="s">
        <v>544</v>
      </c>
      <c r="E416" s="19"/>
      <c r="F416" s="9"/>
      <c r="G416" s="21">
        <f>Source!AL615</f>
        <v>6.02</v>
      </c>
      <c r="H416" s="20" t="str">
        <f>Source!DD615</f>
        <v/>
      </c>
      <c r="I416" s="9">
        <f>Source!AW615</f>
        <v>1</v>
      </c>
      <c r="J416" s="9">
        <f>IF(Source!BC615&lt;&gt; 0, Source!BC615, 1)</f>
        <v>1</v>
      </c>
      <c r="K416" s="21">
        <f>Source!P615</f>
        <v>6.02</v>
      </c>
      <c r="L416" s="21"/>
    </row>
    <row r="417" spans="1:22" ht="14.25" x14ac:dyDescent="0.2">
      <c r="A417" s="18"/>
      <c r="B417" s="18"/>
      <c r="C417" s="18"/>
      <c r="D417" s="18" t="s">
        <v>537</v>
      </c>
      <c r="E417" s="19" t="s">
        <v>538</v>
      </c>
      <c r="F417" s="9">
        <f>Source!AT615</f>
        <v>70</v>
      </c>
      <c r="G417" s="21"/>
      <c r="H417" s="20"/>
      <c r="I417" s="9"/>
      <c r="J417" s="9"/>
      <c r="K417" s="21">
        <f>SUM(R414:R416)</f>
        <v>414.95</v>
      </c>
      <c r="L417" s="21"/>
    </row>
    <row r="418" spans="1:22" ht="14.25" x14ac:dyDescent="0.2">
      <c r="A418" s="18"/>
      <c r="B418" s="18"/>
      <c r="C418" s="18"/>
      <c r="D418" s="18" t="s">
        <v>539</v>
      </c>
      <c r="E418" s="19" t="s">
        <v>538</v>
      </c>
      <c r="F418" s="9">
        <f>Source!AU615</f>
        <v>10</v>
      </c>
      <c r="G418" s="21"/>
      <c r="H418" s="20"/>
      <c r="I418" s="9"/>
      <c r="J418" s="9"/>
      <c r="K418" s="21">
        <f>SUM(T414:T417)</f>
        <v>59.28</v>
      </c>
      <c r="L418" s="21"/>
    </row>
    <row r="419" spans="1:22" ht="14.25" x14ac:dyDescent="0.2">
      <c r="A419" s="18"/>
      <c r="B419" s="18"/>
      <c r="C419" s="18"/>
      <c r="D419" s="18" t="s">
        <v>540</v>
      </c>
      <c r="E419" s="19" t="s">
        <v>541</v>
      </c>
      <c r="F419" s="9">
        <f>Source!AQ615</f>
        <v>0.96</v>
      </c>
      <c r="G419" s="21"/>
      <c r="H419" s="20" t="str">
        <f>Source!DI615</f>
        <v/>
      </c>
      <c r="I419" s="9">
        <f>Source!AV615</f>
        <v>1</v>
      </c>
      <c r="J419" s="9"/>
      <c r="K419" s="21"/>
      <c r="L419" s="21">
        <f>Source!U615</f>
        <v>0.96</v>
      </c>
    </row>
    <row r="420" spans="1:22" ht="15" x14ac:dyDescent="0.25">
      <c r="A420" s="24"/>
      <c r="B420" s="24"/>
      <c r="C420" s="24"/>
      <c r="D420" s="24"/>
      <c r="E420" s="24"/>
      <c r="F420" s="24"/>
      <c r="G420" s="24"/>
      <c r="H420" s="24"/>
      <c r="I420" s="24"/>
      <c r="J420" s="44">
        <f>K415+K416+K417+K418</f>
        <v>1073.04</v>
      </c>
      <c r="K420" s="44"/>
      <c r="L420" s="25">
        <f>IF(Source!I615&lt;&gt;0, ROUND(J420/Source!I615, 2), 0)</f>
        <v>1073.04</v>
      </c>
      <c r="P420" s="23">
        <f>J420</f>
        <v>1073.04</v>
      </c>
    </row>
    <row r="421" spans="1:22" ht="57" x14ac:dyDescent="0.2">
      <c r="A421" s="18">
        <v>43</v>
      </c>
      <c r="B421" s="18">
        <v>43</v>
      </c>
      <c r="C421" s="18" t="str">
        <f>Source!F616</f>
        <v>1.21-2303-31-1/1</v>
      </c>
      <c r="D421" s="18" t="str">
        <f>Source!G616</f>
        <v>Техническое обслуживание коробки клеммной соединительной, с количеством клемм до 20 /Коробка распаечная 100х100мм, IP54, черный</v>
      </c>
      <c r="E421" s="19" t="str">
        <f>Source!H616</f>
        <v>шт.</v>
      </c>
      <c r="F421" s="9">
        <f>Source!I616</f>
        <v>150</v>
      </c>
      <c r="G421" s="21"/>
      <c r="H421" s="20"/>
      <c r="I421" s="9"/>
      <c r="J421" s="9"/>
      <c r="K421" s="21"/>
      <c r="L421" s="21"/>
      <c r="Q421">
        <f>ROUND((Source!BZ616/100)*ROUND((Source!AF616*Source!AV616)*Source!I616, 2), 2)</f>
        <v>62242.95</v>
      </c>
      <c r="R421">
        <f>Source!X616</f>
        <v>62242.95</v>
      </c>
      <c r="S421">
        <f>ROUND((Source!CA616/100)*ROUND((Source!AF616*Source!AV616)*Source!I616, 2), 2)</f>
        <v>8891.85</v>
      </c>
      <c r="T421">
        <f>Source!Y616</f>
        <v>8891.85</v>
      </c>
      <c r="U421">
        <f>ROUND((175/100)*ROUND((Source!AE616*Source!AV616)*Source!I616, 2), 2)</f>
        <v>0</v>
      </c>
      <c r="V421">
        <f>ROUND((108/100)*ROUND(Source!CS616*Source!I616, 2), 2)</f>
        <v>0</v>
      </c>
    </row>
    <row r="422" spans="1:22" ht="14.25" x14ac:dyDescent="0.2">
      <c r="A422" s="18"/>
      <c r="B422" s="18"/>
      <c r="C422" s="18"/>
      <c r="D422" s="18" t="s">
        <v>536</v>
      </c>
      <c r="E422" s="19"/>
      <c r="F422" s="9"/>
      <c r="G422" s="21">
        <f>Source!AO616</f>
        <v>592.79</v>
      </c>
      <c r="H422" s="20" t="str">
        <f>Source!DG616</f>
        <v/>
      </c>
      <c r="I422" s="9">
        <f>Source!AV616</f>
        <v>1</v>
      </c>
      <c r="J422" s="9">
        <f>IF(Source!BA616&lt;&gt; 0, Source!BA616, 1)</f>
        <v>1</v>
      </c>
      <c r="K422" s="21">
        <f>Source!S616</f>
        <v>88918.5</v>
      </c>
      <c r="L422" s="21"/>
    </row>
    <row r="423" spans="1:22" ht="14.25" x14ac:dyDescent="0.2">
      <c r="A423" s="18"/>
      <c r="B423" s="18"/>
      <c r="C423" s="18"/>
      <c r="D423" s="18" t="s">
        <v>544</v>
      </c>
      <c r="E423" s="19"/>
      <c r="F423" s="9"/>
      <c r="G423" s="21">
        <f>Source!AL616</f>
        <v>6.02</v>
      </c>
      <c r="H423" s="20" t="str">
        <f>Source!DD616</f>
        <v/>
      </c>
      <c r="I423" s="9">
        <f>Source!AW616</f>
        <v>1</v>
      </c>
      <c r="J423" s="9">
        <f>IF(Source!BC616&lt;&gt; 0, Source!BC616, 1)</f>
        <v>1</v>
      </c>
      <c r="K423" s="21">
        <f>Source!P616</f>
        <v>903</v>
      </c>
      <c r="L423" s="21"/>
    </row>
    <row r="424" spans="1:22" ht="14.25" x14ac:dyDescent="0.2">
      <c r="A424" s="18"/>
      <c r="B424" s="18"/>
      <c r="C424" s="18"/>
      <c r="D424" s="18" t="s">
        <v>537</v>
      </c>
      <c r="E424" s="19" t="s">
        <v>538</v>
      </c>
      <c r="F424" s="9">
        <f>Source!AT616</f>
        <v>70</v>
      </c>
      <c r="G424" s="21"/>
      <c r="H424" s="20"/>
      <c r="I424" s="9"/>
      <c r="J424" s="9"/>
      <c r="K424" s="21">
        <f>SUM(R421:R423)</f>
        <v>62242.95</v>
      </c>
      <c r="L424" s="21"/>
    </row>
    <row r="425" spans="1:22" ht="14.25" x14ac:dyDescent="0.2">
      <c r="A425" s="18"/>
      <c r="B425" s="18"/>
      <c r="C425" s="18"/>
      <c r="D425" s="18" t="s">
        <v>539</v>
      </c>
      <c r="E425" s="19" t="s">
        <v>538</v>
      </c>
      <c r="F425" s="9">
        <f>Source!AU616</f>
        <v>10</v>
      </c>
      <c r="G425" s="21"/>
      <c r="H425" s="20"/>
      <c r="I425" s="9"/>
      <c r="J425" s="9"/>
      <c r="K425" s="21">
        <f>SUM(T421:T424)</f>
        <v>8891.85</v>
      </c>
      <c r="L425" s="21"/>
    </row>
    <row r="426" spans="1:22" ht="14.25" x14ac:dyDescent="0.2">
      <c r="A426" s="18"/>
      <c r="B426" s="18"/>
      <c r="C426" s="18"/>
      <c r="D426" s="18" t="s">
        <v>540</v>
      </c>
      <c r="E426" s="19" t="s">
        <v>541</v>
      </c>
      <c r="F426" s="9">
        <f>Source!AQ616</f>
        <v>0.96</v>
      </c>
      <c r="G426" s="21"/>
      <c r="H426" s="20" t="str">
        <f>Source!DI616</f>
        <v/>
      </c>
      <c r="I426" s="9">
        <f>Source!AV616</f>
        <v>1</v>
      </c>
      <c r="J426" s="9"/>
      <c r="K426" s="21"/>
      <c r="L426" s="21">
        <f>Source!U616</f>
        <v>144</v>
      </c>
    </row>
    <row r="427" spans="1:22" ht="15" x14ac:dyDescent="0.25">
      <c r="A427" s="24"/>
      <c r="B427" s="24"/>
      <c r="C427" s="24"/>
      <c r="D427" s="24"/>
      <c r="E427" s="24"/>
      <c r="F427" s="24"/>
      <c r="G427" s="24"/>
      <c r="H427" s="24"/>
      <c r="I427" s="24"/>
      <c r="J427" s="44">
        <f>K422+K423+K424+K425</f>
        <v>160956.30000000002</v>
      </c>
      <c r="K427" s="44"/>
      <c r="L427" s="25">
        <f>IF(Source!I616&lt;&gt;0, ROUND(J427/Source!I616, 2), 0)</f>
        <v>1073.04</v>
      </c>
      <c r="P427" s="23">
        <f>J427</f>
        <v>160956.30000000002</v>
      </c>
    </row>
    <row r="428" spans="1:22" ht="71.25" x14ac:dyDescent="0.2">
      <c r="A428" s="18">
        <v>44</v>
      </c>
      <c r="B428" s="18">
        <v>44</v>
      </c>
      <c r="C428" s="18" t="str">
        <f>Source!F617</f>
        <v>1.21-2303-31-1/1</v>
      </c>
      <c r="D428" s="18" t="str">
        <f>Source!G617</f>
        <v>Техническое обслуживание коробки клеммной соединительной, с количеством клемм до 20 /Коробка распаячная для открытой проводки 100х100х50мм IP67</v>
      </c>
      <c r="E428" s="19" t="str">
        <f>Source!H617</f>
        <v>шт.</v>
      </c>
      <c r="F428" s="9">
        <f>Source!I617</f>
        <v>100</v>
      </c>
      <c r="G428" s="21"/>
      <c r="H428" s="20"/>
      <c r="I428" s="9"/>
      <c r="J428" s="9"/>
      <c r="K428" s="21"/>
      <c r="L428" s="21"/>
      <c r="Q428">
        <f>ROUND((Source!BZ617/100)*ROUND((Source!AF617*Source!AV617)*Source!I617, 2), 2)</f>
        <v>41495.300000000003</v>
      </c>
      <c r="R428">
        <f>Source!X617</f>
        <v>41495.300000000003</v>
      </c>
      <c r="S428">
        <f>ROUND((Source!CA617/100)*ROUND((Source!AF617*Source!AV617)*Source!I617, 2), 2)</f>
        <v>5927.9</v>
      </c>
      <c r="T428">
        <f>Source!Y617</f>
        <v>5927.9</v>
      </c>
      <c r="U428">
        <f>ROUND((175/100)*ROUND((Source!AE617*Source!AV617)*Source!I617, 2), 2)</f>
        <v>0</v>
      </c>
      <c r="V428">
        <f>ROUND((108/100)*ROUND(Source!CS617*Source!I617, 2), 2)</f>
        <v>0</v>
      </c>
    </row>
    <row r="429" spans="1:22" ht="14.25" x14ac:dyDescent="0.2">
      <c r="A429" s="18"/>
      <c r="B429" s="18"/>
      <c r="C429" s="18"/>
      <c r="D429" s="18" t="s">
        <v>536</v>
      </c>
      <c r="E429" s="19"/>
      <c r="F429" s="9"/>
      <c r="G429" s="21">
        <f>Source!AO617</f>
        <v>592.79</v>
      </c>
      <c r="H429" s="20" t="str">
        <f>Source!DG617</f>
        <v/>
      </c>
      <c r="I429" s="9">
        <f>Source!AV617</f>
        <v>1</v>
      </c>
      <c r="J429" s="9">
        <f>IF(Source!BA617&lt;&gt; 0, Source!BA617, 1)</f>
        <v>1</v>
      </c>
      <c r="K429" s="21">
        <f>Source!S617</f>
        <v>59279</v>
      </c>
      <c r="L429" s="21"/>
    </row>
    <row r="430" spans="1:22" ht="14.25" x14ac:dyDescent="0.2">
      <c r="A430" s="18"/>
      <c r="B430" s="18"/>
      <c r="C430" s="18"/>
      <c r="D430" s="18" t="s">
        <v>544</v>
      </c>
      <c r="E430" s="19"/>
      <c r="F430" s="9"/>
      <c r="G430" s="21">
        <f>Source!AL617</f>
        <v>6.02</v>
      </c>
      <c r="H430" s="20" t="str">
        <f>Source!DD617</f>
        <v/>
      </c>
      <c r="I430" s="9">
        <f>Source!AW617</f>
        <v>1</v>
      </c>
      <c r="J430" s="9">
        <f>IF(Source!BC617&lt;&gt; 0, Source!BC617, 1)</f>
        <v>1</v>
      </c>
      <c r="K430" s="21">
        <f>Source!P617</f>
        <v>602</v>
      </c>
      <c r="L430" s="21"/>
    </row>
    <row r="431" spans="1:22" ht="14.25" x14ac:dyDescent="0.2">
      <c r="A431" s="18"/>
      <c r="B431" s="18"/>
      <c r="C431" s="18"/>
      <c r="D431" s="18" t="s">
        <v>537</v>
      </c>
      <c r="E431" s="19" t="s">
        <v>538</v>
      </c>
      <c r="F431" s="9">
        <f>Source!AT617</f>
        <v>70</v>
      </c>
      <c r="G431" s="21"/>
      <c r="H431" s="20"/>
      <c r="I431" s="9"/>
      <c r="J431" s="9"/>
      <c r="K431" s="21">
        <f>SUM(R428:R430)</f>
        <v>41495.300000000003</v>
      </c>
      <c r="L431" s="21"/>
    </row>
    <row r="432" spans="1:22" ht="14.25" x14ac:dyDescent="0.2">
      <c r="A432" s="18"/>
      <c r="B432" s="18"/>
      <c r="C432" s="18"/>
      <c r="D432" s="18" t="s">
        <v>539</v>
      </c>
      <c r="E432" s="19" t="s">
        <v>538</v>
      </c>
      <c r="F432" s="9">
        <f>Source!AU617</f>
        <v>10</v>
      </c>
      <c r="G432" s="21"/>
      <c r="H432" s="20"/>
      <c r="I432" s="9"/>
      <c r="J432" s="9"/>
      <c r="K432" s="21">
        <f>SUM(T428:T431)</f>
        <v>5927.9</v>
      </c>
      <c r="L432" s="21"/>
    </row>
    <row r="433" spans="1:22" ht="14.25" x14ac:dyDescent="0.2">
      <c r="A433" s="18"/>
      <c r="B433" s="18"/>
      <c r="C433" s="18"/>
      <c r="D433" s="18" t="s">
        <v>540</v>
      </c>
      <c r="E433" s="19" t="s">
        <v>541</v>
      </c>
      <c r="F433" s="9">
        <f>Source!AQ617</f>
        <v>0.96</v>
      </c>
      <c r="G433" s="21"/>
      <c r="H433" s="20" t="str">
        <f>Source!DI617</f>
        <v/>
      </c>
      <c r="I433" s="9">
        <f>Source!AV617</f>
        <v>1</v>
      </c>
      <c r="J433" s="9"/>
      <c r="K433" s="21"/>
      <c r="L433" s="21">
        <f>Source!U617</f>
        <v>96</v>
      </c>
    </row>
    <row r="434" spans="1:22" ht="15" x14ac:dyDescent="0.25">
      <c r="A434" s="24"/>
      <c r="B434" s="24"/>
      <c r="C434" s="24"/>
      <c r="D434" s="24"/>
      <c r="E434" s="24"/>
      <c r="F434" s="24"/>
      <c r="G434" s="24"/>
      <c r="H434" s="24"/>
      <c r="I434" s="24"/>
      <c r="J434" s="44">
        <f>K429+K430+K431+K432</f>
        <v>107304.2</v>
      </c>
      <c r="K434" s="44"/>
      <c r="L434" s="25">
        <f>IF(Source!I617&lt;&gt;0, ROUND(J434/Source!I617, 2), 0)</f>
        <v>1073.04</v>
      </c>
      <c r="P434" s="23">
        <f>J434</f>
        <v>107304.2</v>
      </c>
    </row>
    <row r="436" spans="1:22" ht="15" x14ac:dyDescent="0.25">
      <c r="A436" s="43" t="str">
        <f>CONCATENATE("Итого по подразделу: ",IF(Source!G619&lt;&gt;"Новый подраздел", Source!G619, ""))</f>
        <v>Итого по подразделу: Электроустановочные изделия</v>
      </c>
      <c r="B436" s="43"/>
      <c r="C436" s="43"/>
      <c r="D436" s="43"/>
      <c r="E436" s="43"/>
      <c r="F436" s="43"/>
      <c r="G436" s="43"/>
      <c r="H436" s="43"/>
      <c r="I436" s="43"/>
      <c r="J436" s="41">
        <f>SUM(P394:P435)</f>
        <v>274950.26</v>
      </c>
      <c r="K436" s="42"/>
      <c r="L436" s="27"/>
    </row>
    <row r="439" spans="1:22" ht="16.5" x14ac:dyDescent="0.25">
      <c r="A439" s="45" t="str">
        <f>CONCATENATE("Подраздел: ",IF(Source!G649&lt;&gt;"Новый подраздел", Source!G649, ""))</f>
        <v>Подраздел: Кабели и провода</v>
      </c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5"/>
    </row>
    <row r="440" spans="1:22" ht="57" x14ac:dyDescent="0.2">
      <c r="A440" s="18">
        <v>45</v>
      </c>
      <c r="B440" s="18">
        <v>45</v>
      </c>
      <c r="C440" s="18" t="str">
        <f>Source!F653</f>
        <v>1.21-2103-9-1/1</v>
      </c>
      <c r="D440" s="18" t="str">
        <f>Source!G653</f>
        <v>Техническое обслуживание силовых сетей, проложенных по кирпичным и бетонным основаниям, провод сечением 2х1,5-6 мм2 (2х1,5)</v>
      </c>
      <c r="E440" s="19" t="str">
        <f>Source!H653</f>
        <v>100 м</v>
      </c>
      <c r="F440" s="9">
        <f>Source!I653</f>
        <v>0.3</v>
      </c>
      <c r="G440" s="21"/>
      <c r="H440" s="20"/>
      <c r="I440" s="9"/>
      <c r="J440" s="9"/>
      <c r="K440" s="21"/>
      <c r="L440" s="21"/>
      <c r="Q440">
        <f>ROUND((Source!BZ653/100)*ROUND((Source!AF653*Source!AV653)*Source!I653, 2), 2)</f>
        <v>802.66</v>
      </c>
      <c r="R440">
        <f>Source!X653</f>
        <v>802.66</v>
      </c>
      <c r="S440">
        <f>ROUND((Source!CA653/100)*ROUND((Source!AF653*Source!AV653)*Source!I653, 2), 2)</f>
        <v>114.67</v>
      </c>
      <c r="T440">
        <f>Source!Y653</f>
        <v>114.67</v>
      </c>
      <c r="U440">
        <f>ROUND((175/100)*ROUND((Source!AE653*Source!AV653)*Source!I653, 2), 2)</f>
        <v>0</v>
      </c>
      <c r="V440">
        <f>ROUND((108/100)*ROUND(Source!CS653*Source!I653, 2), 2)</f>
        <v>0</v>
      </c>
    </row>
    <row r="441" spans="1:22" x14ac:dyDescent="0.2">
      <c r="D441" s="22" t="str">
        <f>"Объем: "&amp;Source!I653&amp;"=(1500)*"&amp;"0,2*"&amp;"0,1/"&amp;"100"</f>
        <v>Объем: 0,3=(1500)*0,2*0,1/100</v>
      </c>
    </row>
    <row r="442" spans="1:22" ht="14.25" x14ac:dyDescent="0.2">
      <c r="A442" s="18"/>
      <c r="B442" s="18"/>
      <c r="C442" s="18"/>
      <c r="D442" s="18" t="s">
        <v>536</v>
      </c>
      <c r="E442" s="19"/>
      <c r="F442" s="9"/>
      <c r="G442" s="21">
        <f>Source!AO653</f>
        <v>3822.15</v>
      </c>
      <c r="H442" s="20" t="str">
        <f>Source!DG653</f>
        <v/>
      </c>
      <c r="I442" s="9">
        <f>Source!AV653</f>
        <v>1</v>
      </c>
      <c r="J442" s="9">
        <f>IF(Source!BA653&lt;&gt; 0, Source!BA653, 1)</f>
        <v>1</v>
      </c>
      <c r="K442" s="21">
        <f>Source!S653</f>
        <v>1146.6500000000001</v>
      </c>
      <c r="L442" s="21"/>
    </row>
    <row r="443" spans="1:22" ht="14.25" x14ac:dyDescent="0.2">
      <c r="A443" s="18"/>
      <c r="B443" s="18"/>
      <c r="C443" s="18"/>
      <c r="D443" s="18" t="s">
        <v>544</v>
      </c>
      <c r="E443" s="19"/>
      <c r="F443" s="9"/>
      <c r="G443" s="21">
        <f>Source!AL653</f>
        <v>22.51</v>
      </c>
      <c r="H443" s="20" t="str">
        <f>Source!DD653</f>
        <v/>
      </c>
      <c r="I443" s="9">
        <f>Source!AW653</f>
        <v>1</v>
      </c>
      <c r="J443" s="9">
        <f>IF(Source!BC653&lt;&gt; 0, Source!BC653, 1)</f>
        <v>1</v>
      </c>
      <c r="K443" s="21">
        <f>Source!P653</f>
        <v>6.75</v>
      </c>
      <c r="L443" s="21"/>
    </row>
    <row r="444" spans="1:22" ht="14.25" x14ac:dyDescent="0.2">
      <c r="A444" s="18"/>
      <c r="B444" s="18"/>
      <c r="C444" s="18"/>
      <c r="D444" s="18" t="s">
        <v>537</v>
      </c>
      <c r="E444" s="19" t="s">
        <v>538</v>
      </c>
      <c r="F444" s="9">
        <f>Source!AT653</f>
        <v>70</v>
      </c>
      <c r="G444" s="21"/>
      <c r="H444" s="20"/>
      <c r="I444" s="9"/>
      <c r="J444" s="9"/>
      <c r="K444" s="21">
        <f>SUM(R440:R443)</f>
        <v>802.66</v>
      </c>
      <c r="L444" s="21"/>
    </row>
    <row r="445" spans="1:22" ht="14.25" x14ac:dyDescent="0.2">
      <c r="A445" s="18"/>
      <c r="B445" s="18"/>
      <c r="C445" s="18"/>
      <c r="D445" s="18" t="s">
        <v>539</v>
      </c>
      <c r="E445" s="19" t="s">
        <v>538</v>
      </c>
      <c r="F445" s="9">
        <f>Source!AU653</f>
        <v>10</v>
      </c>
      <c r="G445" s="21"/>
      <c r="H445" s="20"/>
      <c r="I445" s="9"/>
      <c r="J445" s="9"/>
      <c r="K445" s="21">
        <f>SUM(T440:T444)</f>
        <v>114.67</v>
      </c>
      <c r="L445" s="21"/>
    </row>
    <row r="446" spans="1:22" ht="14.25" x14ac:dyDescent="0.2">
      <c r="A446" s="18"/>
      <c r="B446" s="18"/>
      <c r="C446" s="18"/>
      <c r="D446" s="18" t="s">
        <v>540</v>
      </c>
      <c r="E446" s="19" t="s">
        <v>541</v>
      </c>
      <c r="F446" s="9">
        <f>Source!AQ653</f>
        <v>7.14</v>
      </c>
      <c r="G446" s="21"/>
      <c r="H446" s="20" t="str">
        <f>Source!DI653</f>
        <v/>
      </c>
      <c r="I446" s="9">
        <f>Source!AV653</f>
        <v>1</v>
      </c>
      <c r="J446" s="9"/>
      <c r="K446" s="21"/>
      <c r="L446" s="21">
        <f>Source!U653</f>
        <v>2.1419999999999999</v>
      </c>
    </row>
    <row r="447" spans="1:22" ht="15" x14ac:dyDescent="0.25">
      <c r="A447" s="24"/>
      <c r="B447" s="24"/>
      <c r="C447" s="24"/>
      <c r="D447" s="24"/>
      <c r="E447" s="24"/>
      <c r="F447" s="24"/>
      <c r="G447" s="24"/>
      <c r="H447" s="24"/>
      <c r="I447" s="24"/>
      <c r="J447" s="44">
        <f>K442+K443+K444+K445</f>
        <v>2070.73</v>
      </c>
      <c r="K447" s="44"/>
      <c r="L447" s="25">
        <f>IF(Source!I653&lt;&gt;0, ROUND(J447/Source!I653, 2), 0)</f>
        <v>6902.43</v>
      </c>
      <c r="P447" s="23">
        <f>J447</f>
        <v>2070.73</v>
      </c>
    </row>
    <row r="448" spans="1:22" ht="57" x14ac:dyDescent="0.2">
      <c r="A448" s="18">
        <v>46</v>
      </c>
      <c r="B448" s="18">
        <v>46</v>
      </c>
      <c r="C448" s="18" t="str">
        <f>Source!F655</f>
        <v>1.21-2103-9-2/1</v>
      </c>
      <c r="D448" s="18" t="str">
        <f>Source!G655</f>
        <v>Техническое обслуживание силовых сетей, проложенных по кирпичным и бетонным основаниям, провод сечением 3х1,5-6 мм2 ( 3х2,5 ; 3х4  )</v>
      </c>
      <c r="E448" s="19" t="str">
        <f>Source!H655</f>
        <v>100 м</v>
      </c>
      <c r="F448" s="9">
        <f>Source!I655</f>
        <v>0.91400000000000003</v>
      </c>
      <c r="G448" s="21"/>
      <c r="H448" s="20"/>
      <c r="I448" s="9"/>
      <c r="J448" s="9"/>
      <c r="K448" s="21"/>
      <c r="L448" s="21"/>
      <c r="Q448">
        <f>ROUND((Source!BZ655/100)*ROUND((Source!AF655*Source!AV655)*Source!I655, 2), 2)</f>
        <v>3424.95</v>
      </c>
      <c r="R448">
        <f>Source!X655</f>
        <v>3424.95</v>
      </c>
      <c r="S448">
        <f>ROUND((Source!CA655/100)*ROUND((Source!AF655*Source!AV655)*Source!I655, 2), 2)</f>
        <v>489.28</v>
      </c>
      <c r="T448">
        <f>Source!Y655</f>
        <v>489.28</v>
      </c>
      <c r="U448">
        <f>ROUND((175/100)*ROUND((Source!AE655*Source!AV655)*Source!I655, 2), 2)</f>
        <v>0</v>
      </c>
      <c r="V448">
        <f>ROUND((108/100)*ROUND(Source!CS655*Source!I655, 2), 2)</f>
        <v>0</v>
      </c>
    </row>
    <row r="449" spans="1:22" ht="25.5" x14ac:dyDescent="0.2">
      <c r="D449" s="22" t="str">
        <f>"Объем: "&amp;Source!I655&amp;"=(2920+"&amp;"10+"&amp;"1300+"&amp;"340)*"&amp;"0,2*"&amp;"0,1/"&amp;"100"</f>
        <v>Объем: 0,914=(2920+10+1300+340)*0,2*0,1/100</v>
      </c>
    </row>
    <row r="450" spans="1:22" ht="14.25" x14ac:dyDescent="0.2">
      <c r="A450" s="18"/>
      <c r="B450" s="18"/>
      <c r="C450" s="18"/>
      <c r="D450" s="18" t="s">
        <v>536</v>
      </c>
      <c r="E450" s="19"/>
      <c r="F450" s="9"/>
      <c r="G450" s="21">
        <f>Source!AO655</f>
        <v>5353.15</v>
      </c>
      <c r="H450" s="20" t="str">
        <f>Source!DG655</f>
        <v/>
      </c>
      <c r="I450" s="9">
        <f>Source!AV655</f>
        <v>1</v>
      </c>
      <c r="J450" s="9">
        <f>IF(Source!BA655&lt;&gt; 0, Source!BA655, 1)</f>
        <v>1</v>
      </c>
      <c r="K450" s="21">
        <f>Source!S655</f>
        <v>4892.78</v>
      </c>
      <c r="L450" s="21"/>
    </row>
    <row r="451" spans="1:22" ht="14.25" x14ac:dyDescent="0.2">
      <c r="A451" s="18"/>
      <c r="B451" s="18"/>
      <c r="C451" s="18"/>
      <c r="D451" s="18" t="s">
        <v>544</v>
      </c>
      <c r="E451" s="19"/>
      <c r="F451" s="9"/>
      <c r="G451" s="21">
        <f>Source!AL655</f>
        <v>22.51</v>
      </c>
      <c r="H451" s="20" t="str">
        <f>Source!DD655</f>
        <v/>
      </c>
      <c r="I451" s="9">
        <f>Source!AW655</f>
        <v>1</v>
      </c>
      <c r="J451" s="9">
        <f>IF(Source!BC655&lt;&gt; 0, Source!BC655, 1)</f>
        <v>1</v>
      </c>
      <c r="K451" s="21">
        <f>Source!P655</f>
        <v>20.57</v>
      </c>
      <c r="L451" s="21"/>
    </row>
    <row r="452" spans="1:22" ht="14.25" x14ac:dyDescent="0.2">
      <c r="A452" s="18"/>
      <c r="B452" s="18"/>
      <c r="C452" s="18"/>
      <c r="D452" s="18" t="s">
        <v>537</v>
      </c>
      <c r="E452" s="19" t="s">
        <v>538</v>
      </c>
      <c r="F452" s="9">
        <f>Source!AT655</f>
        <v>70</v>
      </c>
      <c r="G452" s="21"/>
      <c r="H452" s="20"/>
      <c r="I452" s="9"/>
      <c r="J452" s="9"/>
      <c r="K452" s="21">
        <f>SUM(R448:R451)</f>
        <v>3424.95</v>
      </c>
      <c r="L452" s="21"/>
    </row>
    <row r="453" spans="1:22" ht="14.25" x14ac:dyDescent="0.2">
      <c r="A453" s="18"/>
      <c r="B453" s="18"/>
      <c r="C453" s="18"/>
      <c r="D453" s="18" t="s">
        <v>539</v>
      </c>
      <c r="E453" s="19" t="s">
        <v>538</v>
      </c>
      <c r="F453" s="9">
        <f>Source!AU655</f>
        <v>10</v>
      </c>
      <c r="G453" s="21"/>
      <c r="H453" s="20"/>
      <c r="I453" s="9"/>
      <c r="J453" s="9"/>
      <c r="K453" s="21">
        <f>SUM(T448:T452)</f>
        <v>489.28</v>
      </c>
      <c r="L453" s="21"/>
    </row>
    <row r="454" spans="1:22" ht="14.25" x14ac:dyDescent="0.2">
      <c r="A454" s="18"/>
      <c r="B454" s="18"/>
      <c r="C454" s="18"/>
      <c r="D454" s="18" t="s">
        <v>540</v>
      </c>
      <c r="E454" s="19" t="s">
        <v>541</v>
      </c>
      <c r="F454" s="9">
        <f>Source!AQ655</f>
        <v>10</v>
      </c>
      <c r="G454" s="21"/>
      <c r="H454" s="20" t="str">
        <f>Source!DI655</f>
        <v/>
      </c>
      <c r="I454" s="9">
        <f>Source!AV655</f>
        <v>1</v>
      </c>
      <c r="J454" s="9"/>
      <c r="K454" s="21"/>
      <c r="L454" s="21">
        <f>Source!U655</f>
        <v>9.14</v>
      </c>
    </row>
    <row r="455" spans="1:22" ht="15" x14ac:dyDescent="0.25">
      <c r="A455" s="24"/>
      <c r="B455" s="24"/>
      <c r="C455" s="24"/>
      <c r="D455" s="24"/>
      <c r="E455" s="24"/>
      <c r="F455" s="24"/>
      <c r="G455" s="24"/>
      <c r="H455" s="24"/>
      <c r="I455" s="24"/>
      <c r="J455" s="44">
        <f>K450+K451+K452+K453</f>
        <v>8827.58</v>
      </c>
      <c r="K455" s="44"/>
      <c r="L455" s="25">
        <f>IF(Source!I655&lt;&gt;0, ROUND(J455/Source!I655, 2), 0)</f>
        <v>9658.18</v>
      </c>
      <c r="P455" s="23">
        <f>J455</f>
        <v>8827.58</v>
      </c>
    </row>
    <row r="456" spans="1:22" ht="57" x14ac:dyDescent="0.2">
      <c r="A456" s="18">
        <v>47</v>
      </c>
      <c r="B456" s="18">
        <v>47</v>
      </c>
      <c r="C456" s="18" t="str">
        <f>Source!F657</f>
        <v>1.21-2103-9-3/1</v>
      </c>
      <c r="D456" s="18" t="str">
        <f>Source!G657</f>
        <v>Техническое обслуживание силовых сетей, проложенных по кирпичным и бетонным основаниям, провод сечением 4х1,5-6 мм2 (4х2,5)</v>
      </c>
      <c r="E456" s="19" t="str">
        <f>Source!H657</f>
        <v>100 м</v>
      </c>
      <c r="F456" s="9">
        <f>Source!I657</f>
        <v>0.127</v>
      </c>
      <c r="G456" s="21"/>
      <c r="H456" s="20"/>
      <c r="I456" s="9"/>
      <c r="J456" s="9"/>
      <c r="K456" s="21"/>
      <c r="L456" s="21"/>
      <c r="Q456">
        <f>ROUND((Source!BZ657/100)*ROUND((Source!AF657*Source!AV657)*Source!I657, 2), 2)</f>
        <v>533.95000000000005</v>
      </c>
      <c r="R456">
        <f>Source!X657</f>
        <v>533.95000000000005</v>
      </c>
      <c r="S456">
        <f>ROUND((Source!CA657/100)*ROUND((Source!AF657*Source!AV657)*Source!I657, 2), 2)</f>
        <v>76.28</v>
      </c>
      <c r="T456">
        <f>Source!Y657</f>
        <v>76.28</v>
      </c>
      <c r="U456">
        <f>ROUND((175/100)*ROUND((Source!AE657*Source!AV657)*Source!I657, 2), 2)</f>
        <v>0</v>
      </c>
      <c r="V456">
        <f>ROUND((108/100)*ROUND(Source!CS657*Source!I657, 2), 2)</f>
        <v>0</v>
      </c>
    </row>
    <row r="457" spans="1:22" x14ac:dyDescent="0.2">
      <c r="D457" s="22" t="str">
        <f>"Объем: "&amp;Source!I657&amp;"=(635)*"&amp;"0,2*"&amp;"0,1/"&amp;"100"</f>
        <v>Объем: 0,127=(635)*0,2*0,1/100</v>
      </c>
    </row>
    <row r="458" spans="1:22" ht="14.25" x14ac:dyDescent="0.2">
      <c r="A458" s="18"/>
      <c r="B458" s="18"/>
      <c r="C458" s="18"/>
      <c r="D458" s="18" t="s">
        <v>536</v>
      </c>
      <c r="E458" s="19"/>
      <c r="F458" s="9"/>
      <c r="G458" s="21">
        <f>Source!AO657</f>
        <v>6006.24</v>
      </c>
      <c r="H458" s="20" t="str">
        <f>Source!DG657</f>
        <v/>
      </c>
      <c r="I458" s="9">
        <f>Source!AV657</f>
        <v>1</v>
      </c>
      <c r="J458" s="9">
        <f>IF(Source!BA657&lt;&gt; 0, Source!BA657, 1)</f>
        <v>1</v>
      </c>
      <c r="K458" s="21">
        <f>Source!S657</f>
        <v>762.79</v>
      </c>
      <c r="L458" s="21"/>
    </row>
    <row r="459" spans="1:22" ht="14.25" x14ac:dyDescent="0.2">
      <c r="A459" s="18"/>
      <c r="B459" s="18"/>
      <c r="C459" s="18"/>
      <c r="D459" s="18" t="s">
        <v>544</v>
      </c>
      <c r="E459" s="19"/>
      <c r="F459" s="9"/>
      <c r="G459" s="21">
        <f>Source!AL657</f>
        <v>14.63</v>
      </c>
      <c r="H459" s="20" t="str">
        <f>Source!DD657</f>
        <v/>
      </c>
      <c r="I459" s="9">
        <f>Source!AW657</f>
        <v>1</v>
      </c>
      <c r="J459" s="9">
        <f>IF(Source!BC657&lt;&gt; 0, Source!BC657, 1)</f>
        <v>1</v>
      </c>
      <c r="K459" s="21">
        <f>Source!P657</f>
        <v>1.86</v>
      </c>
      <c r="L459" s="21"/>
    </row>
    <row r="460" spans="1:22" ht="14.25" x14ac:dyDescent="0.2">
      <c r="A460" s="18"/>
      <c r="B460" s="18"/>
      <c r="C460" s="18"/>
      <c r="D460" s="18" t="s">
        <v>537</v>
      </c>
      <c r="E460" s="19" t="s">
        <v>538</v>
      </c>
      <c r="F460" s="9">
        <f>Source!AT657</f>
        <v>70</v>
      </c>
      <c r="G460" s="21"/>
      <c r="H460" s="20"/>
      <c r="I460" s="9"/>
      <c r="J460" s="9"/>
      <c r="K460" s="21">
        <f>SUM(R456:R459)</f>
        <v>533.95000000000005</v>
      </c>
      <c r="L460" s="21"/>
    </row>
    <row r="461" spans="1:22" ht="14.25" x14ac:dyDescent="0.2">
      <c r="A461" s="18"/>
      <c r="B461" s="18"/>
      <c r="C461" s="18"/>
      <c r="D461" s="18" t="s">
        <v>539</v>
      </c>
      <c r="E461" s="19" t="s">
        <v>538</v>
      </c>
      <c r="F461" s="9">
        <f>Source!AU657</f>
        <v>10</v>
      </c>
      <c r="G461" s="21"/>
      <c r="H461" s="20"/>
      <c r="I461" s="9"/>
      <c r="J461" s="9"/>
      <c r="K461" s="21">
        <f>SUM(T456:T460)</f>
        <v>76.28</v>
      </c>
      <c r="L461" s="21"/>
    </row>
    <row r="462" spans="1:22" ht="14.25" x14ac:dyDescent="0.2">
      <c r="A462" s="18"/>
      <c r="B462" s="18"/>
      <c r="C462" s="18"/>
      <c r="D462" s="18" t="s">
        <v>540</v>
      </c>
      <c r="E462" s="19" t="s">
        <v>541</v>
      </c>
      <c r="F462" s="9">
        <f>Source!AQ657</f>
        <v>11.22</v>
      </c>
      <c r="G462" s="21"/>
      <c r="H462" s="20" t="str">
        <f>Source!DI657</f>
        <v/>
      </c>
      <c r="I462" s="9">
        <f>Source!AV657</f>
        <v>1</v>
      </c>
      <c r="J462" s="9"/>
      <c r="K462" s="21"/>
      <c r="L462" s="21">
        <f>Source!U657</f>
        <v>1.4249400000000001</v>
      </c>
    </row>
    <row r="463" spans="1:22" ht="15" x14ac:dyDescent="0.25">
      <c r="A463" s="24"/>
      <c r="B463" s="24"/>
      <c r="C463" s="24"/>
      <c r="D463" s="24"/>
      <c r="E463" s="24"/>
      <c r="F463" s="24"/>
      <c r="G463" s="24"/>
      <c r="H463" s="24"/>
      <c r="I463" s="24"/>
      <c r="J463" s="44">
        <f>K458+K459+K460+K461</f>
        <v>1374.8799999999999</v>
      </c>
      <c r="K463" s="44"/>
      <c r="L463" s="25">
        <f>IF(Source!I657&lt;&gt;0, ROUND(J463/Source!I657, 2), 0)</f>
        <v>10825.83</v>
      </c>
      <c r="P463" s="23">
        <f>J463</f>
        <v>1374.8799999999999</v>
      </c>
    </row>
    <row r="464" spans="1:22" ht="57" x14ac:dyDescent="0.2">
      <c r="A464" s="18">
        <v>48</v>
      </c>
      <c r="B464" s="18">
        <v>48</v>
      </c>
      <c r="C464" s="18" t="str">
        <f>Source!F659</f>
        <v>1.21-2103-9-3/1</v>
      </c>
      <c r="D464" s="18" t="str">
        <f>Source!G659</f>
        <v>Техническое обслуживание силовых сетей, проложенных по кирпичным и бетонным основаниям, провод сечением 4х1,5-6 мм2 ( 5х4, 5х6)</v>
      </c>
      <c r="E464" s="19" t="str">
        <f>Source!H659</f>
        <v>100 м</v>
      </c>
      <c r="F464" s="9">
        <f>Source!I659</f>
        <v>3.4000000000000002E-2</v>
      </c>
      <c r="G464" s="21"/>
      <c r="H464" s="20"/>
      <c r="I464" s="9"/>
      <c r="J464" s="9"/>
      <c r="K464" s="21"/>
      <c r="L464" s="21"/>
      <c r="Q464">
        <f>ROUND((Source!BZ659/100)*ROUND((Source!AF659*Source!AV659)*Source!I659, 2), 2)</f>
        <v>142.94999999999999</v>
      </c>
      <c r="R464">
        <f>Source!X659</f>
        <v>142.94999999999999</v>
      </c>
      <c r="S464">
        <f>ROUND((Source!CA659/100)*ROUND((Source!AF659*Source!AV659)*Source!I659, 2), 2)</f>
        <v>20.420000000000002</v>
      </c>
      <c r="T464">
        <f>Source!Y659</f>
        <v>20.420000000000002</v>
      </c>
      <c r="U464">
        <f>ROUND((175/100)*ROUND((Source!AE659*Source!AV659)*Source!I659, 2), 2)</f>
        <v>0</v>
      </c>
      <c r="V464">
        <f>ROUND((108/100)*ROUND(Source!CS659*Source!I659, 2), 2)</f>
        <v>0</v>
      </c>
    </row>
    <row r="465" spans="1:22" x14ac:dyDescent="0.2">
      <c r="D465" s="22" t="str">
        <f>"Объем: "&amp;Source!I659&amp;"=(10+"&amp;"140+"&amp;"20)*"&amp;"0,2*"&amp;"0,1/"&amp;"100"</f>
        <v>Объем: 0,034=(10+140+20)*0,2*0,1/100</v>
      </c>
    </row>
    <row r="466" spans="1:22" ht="14.25" x14ac:dyDescent="0.2">
      <c r="A466" s="18"/>
      <c r="B466" s="18"/>
      <c r="C466" s="18"/>
      <c r="D466" s="18" t="s">
        <v>536</v>
      </c>
      <c r="E466" s="19"/>
      <c r="F466" s="9"/>
      <c r="G466" s="21">
        <f>Source!AO659</f>
        <v>6006.24</v>
      </c>
      <c r="H466" s="20" t="str">
        <f>Source!DG659</f>
        <v/>
      </c>
      <c r="I466" s="9">
        <f>Source!AV659</f>
        <v>1</v>
      </c>
      <c r="J466" s="9">
        <f>IF(Source!BA659&lt;&gt; 0, Source!BA659, 1)</f>
        <v>1</v>
      </c>
      <c r="K466" s="21">
        <f>Source!S659</f>
        <v>204.21</v>
      </c>
      <c r="L466" s="21"/>
    </row>
    <row r="467" spans="1:22" ht="14.25" x14ac:dyDescent="0.2">
      <c r="A467" s="18"/>
      <c r="B467" s="18"/>
      <c r="C467" s="18"/>
      <c r="D467" s="18" t="s">
        <v>544</v>
      </c>
      <c r="E467" s="19"/>
      <c r="F467" s="9"/>
      <c r="G467" s="21">
        <f>Source!AL659</f>
        <v>14.63</v>
      </c>
      <c r="H467" s="20" t="str">
        <f>Source!DD659</f>
        <v/>
      </c>
      <c r="I467" s="9">
        <f>Source!AW659</f>
        <v>1</v>
      </c>
      <c r="J467" s="9">
        <f>IF(Source!BC659&lt;&gt; 0, Source!BC659, 1)</f>
        <v>1</v>
      </c>
      <c r="K467" s="21">
        <f>Source!P659</f>
        <v>0.5</v>
      </c>
      <c r="L467" s="21"/>
    </row>
    <row r="468" spans="1:22" ht="14.25" x14ac:dyDescent="0.2">
      <c r="A468" s="18"/>
      <c r="B468" s="18"/>
      <c r="C468" s="18"/>
      <c r="D468" s="18" t="s">
        <v>537</v>
      </c>
      <c r="E468" s="19" t="s">
        <v>538</v>
      </c>
      <c r="F468" s="9">
        <f>Source!AT659</f>
        <v>70</v>
      </c>
      <c r="G468" s="21"/>
      <c r="H468" s="20"/>
      <c r="I468" s="9"/>
      <c r="J468" s="9"/>
      <c r="K468" s="21">
        <f>SUM(R464:R467)</f>
        <v>142.94999999999999</v>
      </c>
      <c r="L468" s="21"/>
    </row>
    <row r="469" spans="1:22" ht="14.25" x14ac:dyDescent="0.2">
      <c r="A469" s="18"/>
      <c r="B469" s="18"/>
      <c r="C469" s="18"/>
      <c r="D469" s="18" t="s">
        <v>539</v>
      </c>
      <c r="E469" s="19" t="s">
        <v>538</v>
      </c>
      <c r="F469" s="9">
        <f>Source!AU659</f>
        <v>10</v>
      </c>
      <c r="G469" s="21"/>
      <c r="H469" s="20"/>
      <c r="I469" s="9"/>
      <c r="J469" s="9"/>
      <c r="K469" s="21">
        <f>SUM(T464:T468)</f>
        <v>20.420000000000002</v>
      </c>
      <c r="L469" s="21"/>
    </row>
    <row r="470" spans="1:22" ht="14.25" x14ac:dyDescent="0.2">
      <c r="A470" s="18"/>
      <c r="B470" s="18"/>
      <c r="C470" s="18"/>
      <c r="D470" s="18" t="s">
        <v>540</v>
      </c>
      <c r="E470" s="19" t="s">
        <v>541</v>
      </c>
      <c r="F470" s="9">
        <f>Source!AQ659</f>
        <v>11.22</v>
      </c>
      <c r="G470" s="21"/>
      <c r="H470" s="20" t="str">
        <f>Source!DI659</f>
        <v/>
      </c>
      <c r="I470" s="9">
        <f>Source!AV659</f>
        <v>1</v>
      </c>
      <c r="J470" s="9"/>
      <c r="K470" s="21"/>
      <c r="L470" s="21">
        <f>Source!U659</f>
        <v>0.38148000000000004</v>
      </c>
    </row>
    <row r="471" spans="1:22" ht="15" x14ac:dyDescent="0.25">
      <c r="A471" s="24"/>
      <c r="B471" s="24"/>
      <c r="C471" s="24"/>
      <c r="D471" s="24"/>
      <c r="E471" s="24"/>
      <c r="F471" s="24"/>
      <c r="G471" s="24"/>
      <c r="H471" s="24"/>
      <c r="I471" s="24"/>
      <c r="J471" s="44">
        <f>K466+K467+K468+K469</f>
        <v>368.08</v>
      </c>
      <c r="K471" s="44"/>
      <c r="L471" s="25">
        <f>IF(Source!I659&lt;&gt;0, ROUND(J471/Source!I659, 2), 0)</f>
        <v>10825.88</v>
      </c>
      <c r="P471" s="23">
        <f>J471</f>
        <v>368.08</v>
      </c>
    </row>
    <row r="472" spans="1:22" ht="57" x14ac:dyDescent="0.2">
      <c r="A472" s="18">
        <v>49</v>
      </c>
      <c r="B472" s="18">
        <v>49</v>
      </c>
      <c r="C472" s="18" t="str">
        <f>Source!F661</f>
        <v>1.21-2103-9-5/1</v>
      </c>
      <c r="D472" s="18" t="str">
        <f>Source!G661</f>
        <v>Техническое обслуживание силовых сетей, проложенных по кирпичным и бетонным основаниям, провод сечением 3х10-16 мм2 (5х10)</v>
      </c>
      <c r="E472" s="19" t="str">
        <f>Source!H661</f>
        <v>100 м</v>
      </c>
      <c r="F472" s="9">
        <f>Source!I661</f>
        <v>0.04</v>
      </c>
      <c r="G472" s="21"/>
      <c r="H472" s="20"/>
      <c r="I472" s="9"/>
      <c r="J472" s="9"/>
      <c r="K472" s="21"/>
      <c r="L472" s="21"/>
      <c r="Q472">
        <f>ROUND((Source!BZ661/100)*ROUND((Source!AF661*Source!AV661)*Source!I661, 2), 2)</f>
        <v>178.07</v>
      </c>
      <c r="R472">
        <f>Source!X661</f>
        <v>178.07</v>
      </c>
      <c r="S472">
        <f>ROUND((Source!CA661/100)*ROUND((Source!AF661*Source!AV661)*Source!I661, 2), 2)</f>
        <v>25.44</v>
      </c>
      <c r="T472">
        <f>Source!Y661</f>
        <v>25.44</v>
      </c>
      <c r="U472">
        <f>ROUND((175/100)*ROUND((Source!AE661*Source!AV661)*Source!I661, 2), 2)</f>
        <v>0</v>
      </c>
      <c r="V472">
        <f>ROUND((108/100)*ROUND(Source!CS661*Source!I661, 2), 2)</f>
        <v>0</v>
      </c>
    </row>
    <row r="473" spans="1:22" x14ac:dyDescent="0.2">
      <c r="D473" s="22" t="str">
        <f>"Объем: "&amp;Source!I661&amp;"=(200)*"&amp;"0,2*"&amp;"0,1/"&amp;"100"</f>
        <v>Объем: 0,04=(200)*0,2*0,1/100</v>
      </c>
    </row>
    <row r="474" spans="1:22" ht="14.25" x14ac:dyDescent="0.2">
      <c r="A474" s="18"/>
      <c r="B474" s="18"/>
      <c r="C474" s="18"/>
      <c r="D474" s="18" t="s">
        <v>536</v>
      </c>
      <c r="E474" s="19"/>
      <c r="F474" s="9"/>
      <c r="G474" s="21">
        <f>Source!AO661</f>
        <v>6359.54</v>
      </c>
      <c r="H474" s="20" t="str">
        <f>Source!DG661</f>
        <v/>
      </c>
      <c r="I474" s="9">
        <f>Source!AV661</f>
        <v>1</v>
      </c>
      <c r="J474" s="9">
        <f>IF(Source!BA661&lt;&gt; 0, Source!BA661, 1)</f>
        <v>1</v>
      </c>
      <c r="K474" s="21">
        <f>Source!S661</f>
        <v>254.38</v>
      </c>
      <c r="L474" s="21"/>
    </row>
    <row r="475" spans="1:22" ht="14.25" x14ac:dyDescent="0.2">
      <c r="A475" s="18"/>
      <c r="B475" s="18"/>
      <c r="C475" s="18"/>
      <c r="D475" s="18" t="s">
        <v>544</v>
      </c>
      <c r="E475" s="19"/>
      <c r="F475" s="9"/>
      <c r="G475" s="21">
        <f>Source!AL661</f>
        <v>15.76</v>
      </c>
      <c r="H475" s="20" t="str">
        <f>Source!DD661</f>
        <v/>
      </c>
      <c r="I475" s="9">
        <f>Source!AW661</f>
        <v>1</v>
      </c>
      <c r="J475" s="9">
        <f>IF(Source!BC661&lt;&gt; 0, Source!BC661, 1)</f>
        <v>1</v>
      </c>
      <c r="K475" s="21">
        <f>Source!P661</f>
        <v>0.63</v>
      </c>
      <c r="L475" s="21"/>
    </row>
    <row r="476" spans="1:22" ht="14.25" x14ac:dyDescent="0.2">
      <c r="A476" s="18"/>
      <c r="B476" s="18"/>
      <c r="C476" s="18"/>
      <c r="D476" s="18" t="s">
        <v>537</v>
      </c>
      <c r="E476" s="19" t="s">
        <v>538</v>
      </c>
      <c r="F476" s="9">
        <f>Source!AT661</f>
        <v>70</v>
      </c>
      <c r="G476" s="21"/>
      <c r="H476" s="20"/>
      <c r="I476" s="9"/>
      <c r="J476" s="9"/>
      <c r="K476" s="21">
        <f>SUM(R472:R475)</f>
        <v>178.07</v>
      </c>
      <c r="L476" s="21"/>
    </row>
    <row r="477" spans="1:22" ht="14.25" x14ac:dyDescent="0.2">
      <c r="A477" s="18"/>
      <c r="B477" s="18"/>
      <c r="C477" s="18"/>
      <c r="D477" s="18" t="s">
        <v>539</v>
      </c>
      <c r="E477" s="19" t="s">
        <v>538</v>
      </c>
      <c r="F477" s="9">
        <f>Source!AU661</f>
        <v>10</v>
      </c>
      <c r="G477" s="21"/>
      <c r="H477" s="20"/>
      <c r="I477" s="9"/>
      <c r="J477" s="9"/>
      <c r="K477" s="21">
        <f>SUM(T472:T476)</f>
        <v>25.44</v>
      </c>
      <c r="L477" s="21"/>
    </row>
    <row r="478" spans="1:22" ht="14.25" x14ac:dyDescent="0.2">
      <c r="A478" s="18"/>
      <c r="B478" s="18"/>
      <c r="C478" s="18"/>
      <c r="D478" s="18" t="s">
        <v>540</v>
      </c>
      <c r="E478" s="19" t="s">
        <v>541</v>
      </c>
      <c r="F478" s="9">
        <f>Source!AQ661</f>
        <v>11.88</v>
      </c>
      <c r="G478" s="21"/>
      <c r="H478" s="20" t="str">
        <f>Source!DI661</f>
        <v/>
      </c>
      <c r="I478" s="9">
        <f>Source!AV661</f>
        <v>1</v>
      </c>
      <c r="J478" s="9"/>
      <c r="K478" s="21"/>
      <c r="L478" s="21">
        <f>Source!U661</f>
        <v>0.47520000000000007</v>
      </c>
    </row>
    <row r="479" spans="1:22" ht="15" x14ac:dyDescent="0.25">
      <c r="A479" s="24"/>
      <c r="B479" s="24"/>
      <c r="C479" s="24"/>
      <c r="D479" s="24"/>
      <c r="E479" s="24"/>
      <c r="F479" s="24"/>
      <c r="G479" s="24"/>
      <c r="H479" s="24"/>
      <c r="I479" s="24"/>
      <c r="J479" s="44">
        <f>K474+K475+K476+K477</f>
        <v>458.52</v>
      </c>
      <c r="K479" s="44"/>
      <c r="L479" s="25">
        <f>IF(Source!I661&lt;&gt;0, ROUND(J479/Source!I661, 2), 0)</f>
        <v>11463</v>
      </c>
      <c r="P479" s="23">
        <f>J479</f>
        <v>458.52</v>
      </c>
    </row>
    <row r="480" spans="1:22" ht="57" x14ac:dyDescent="0.2">
      <c r="A480" s="18">
        <v>50</v>
      </c>
      <c r="B480" s="18">
        <v>50</v>
      </c>
      <c r="C480" s="18" t="str">
        <f>Source!F663</f>
        <v>1.21-2103-9-7/1</v>
      </c>
      <c r="D480" s="18" t="str">
        <f>Source!G663</f>
        <v>Техническое обслуживание силовых сетей, проложенных по кирпичным и бетонным основаниям, провод сечением 3х25-35 мм2 (5х25, 5х35)</v>
      </c>
      <c r="E480" s="19" t="str">
        <f>Source!H663</f>
        <v>100 м</v>
      </c>
      <c r="F480" s="9">
        <f>Source!I663</f>
        <v>2.7E-2</v>
      </c>
      <c r="G480" s="21"/>
      <c r="H480" s="20"/>
      <c r="I480" s="9"/>
      <c r="J480" s="9"/>
      <c r="K480" s="21"/>
      <c r="L480" s="21"/>
      <c r="Q480">
        <f>ROUND((Source!BZ663/100)*ROUND((Source!AF663*Source!AV663)*Source!I663, 2), 2)</f>
        <v>147.51</v>
      </c>
      <c r="R480">
        <f>Source!X663</f>
        <v>147.51</v>
      </c>
      <c r="S480">
        <f>ROUND((Source!CA663/100)*ROUND((Source!AF663*Source!AV663)*Source!I663, 2), 2)</f>
        <v>21.07</v>
      </c>
      <c r="T480">
        <f>Source!Y663</f>
        <v>21.07</v>
      </c>
      <c r="U480">
        <f>ROUND((175/100)*ROUND((Source!AE663*Source!AV663)*Source!I663, 2), 2)</f>
        <v>0</v>
      </c>
      <c r="V480">
        <f>ROUND((108/100)*ROUND(Source!CS663*Source!I663, 2), 2)</f>
        <v>0</v>
      </c>
    </row>
    <row r="481" spans="1:22" x14ac:dyDescent="0.2">
      <c r="D481" s="22" t="str">
        <f>"Объем: "&amp;Source!I663&amp;"=(130+"&amp;"5)*"&amp;"0,2*"&amp;"0,1/"&amp;"100"</f>
        <v>Объем: 0,027=(130+5)*0,2*0,1/100</v>
      </c>
    </row>
    <row r="482" spans="1:22" ht="14.25" x14ac:dyDescent="0.2">
      <c r="A482" s="18"/>
      <c r="B482" s="18"/>
      <c r="C482" s="18"/>
      <c r="D482" s="18" t="s">
        <v>536</v>
      </c>
      <c r="E482" s="19"/>
      <c r="F482" s="9"/>
      <c r="G482" s="21">
        <f>Source!AO663</f>
        <v>7804.89</v>
      </c>
      <c r="H482" s="20" t="str">
        <f>Source!DG663</f>
        <v/>
      </c>
      <c r="I482" s="9">
        <f>Source!AV663</f>
        <v>1</v>
      </c>
      <c r="J482" s="9">
        <f>IF(Source!BA663&lt;&gt; 0, Source!BA663, 1)</f>
        <v>1</v>
      </c>
      <c r="K482" s="21">
        <f>Source!S663</f>
        <v>210.73</v>
      </c>
      <c r="L482" s="21"/>
    </row>
    <row r="483" spans="1:22" ht="14.25" x14ac:dyDescent="0.2">
      <c r="A483" s="18"/>
      <c r="B483" s="18"/>
      <c r="C483" s="18"/>
      <c r="D483" s="18" t="s">
        <v>544</v>
      </c>
      <c r="E483" s="19"/>
      <c r="F483" s="9"/>
      <c r="G483" s="21">
        <f>Source!AL663</f>
        <v>19.13</v>
      </c>
      <c r="H483" s="20" t="str">
        <f>Source!DD663</f>
        <v/>
      </c>
      <c r="I483" s="9">
        <f>Source!AW663</f>
        <v>1</v>
      </c>
      <c r="J483" s="9">
        <f>IF(Source!BC663&lt;&gt; 0, Source!BC663, 1)</f>
        <v>1</v>
      </c>
      <c r="K483" s="21">
        <f>Source!P663</f>
        <v>0.52</v>
      </c>
      <c r="L483" s="21"/>
    </row>
    <row r="484" spans="1:22" ht="14.25" x14ac:dyDescent="0.2">
      <c r="A484" s="18"/>
      <c r="B484" s="18"/>
      <c r="C484" s="18"/>
      <c r="D484" s="18" t="s">
        <v>537</v>
      </c>
      <c r="E484" s="19" t="s">
        <v>538</v>
      </c>
      <c r="F484" s="9">
        <f>Source!AT663</f>
        <v>70</v>
      </c>
      <c r="G484" s="21"/>
      <c r="H484" s="20"/>
      <c r="I484" s="9"/>
      <c r="J484" s="9"/>
      <c r="K484" s="21">
        <f>SUM(R480:R483)</f>
        <v>147.51</v>
      </c>
      <c r="L484" s="21"/>
    </row>
    <row r="485" spans="1:22" ht="14.25" x14ac:dyDescent="0.2">
      <c r="A485" s="18"/>
      <c r="B485" s="18"/>
      <c r="C485" s="18"/>
      <c r="D485" s="18" t="s">
        <v>539</v>
      </c>
      <c r="E485" s="19" t="s">
        <v>538</v>
      </c>
      <c r="F485" s="9">
        <f>Source!AU663</f>
        <v>10</v>
      </c>
      <c r="G485" s="21"/>
      <c r="H485" s="20"/>
      <c r="I485" s="9"/>
      <c r="J485" s="9"/>
      <c r="K485" s="21">
        <f>SUM(T480:T484)</f>
        <v>21.07</v>
      </c>
      <c r="L485" s="21"/>
    </row>
    <row r="486" spans="1:22" ht="14.25" x14ac:dyDescent="0.2">
      <c r="A486" s="18"/>
      <c r="B486" s="18"/>
      <c r="C486" s="18"/>
      <c r="D486" s="18" t="s">
        <v>540</v>
      </c>
      <c r="E486" s="19" t="s">
        <v>541</v>
      </c>
      <c r="F486" s="9">
        <f>Source!AQ663</f>
        <v>14.58</v>
      </c>
      <c r="G486" s="21"/>
      <c r="H486" s="20" t="str">
        <f>Source!DI663</f>
        <v/>
      </c>
      <c r="I486" s="9">
        <f>Source!AV663</f>
        <v>1</v>
      </c>
      <c r="J486" s="9"/>
      <c r="K486" s="21"/>
      <c r="L486" s="21">
        <f>Source!U663</f>
        <v>0.39366000000000001</v>
      </c>
    </row>
    <row r="487" spans="1:22" ht="15" x14ac:dyDescent="0.25">
      <c r="A487" s="24"/>
      <c r="B487" s="24"/>
      <c r="C487" s="24"/>
      <c r="D487" s="24"/>
      <c r="E487" s="24"/>
      <c r="F487" s="24"/>
      <c r="G487" s="24"/>
      <c r="H487" s="24"/>
      <c r="I487" s="24"/>
      <c r="J487" s="44">
        <f>K482+K483+K484+K485</f>
        <v>379.83</v>
      </c>
      <c r="K487" s="44"/>
      <c r="L487" s="25">
        <f>IF(Source!I663&lt;&gt;0, ROUND(J487/Source!I663, 2), 0)</f>
        <v>14067.78</v>
      </c>
      <c r="P487" s="23">
        <f>J487</f>
        <v>379.83</v>
      </c>
    </row>
    <row r="488" spans="1:22" ht="71.25" x14ac:dyDescent="0.2">
      <c r="A488" s="18">
        <v>51</v>
      </c>
      <c r="B488" s="18">
        <v>51</v>
      </c>
      <c r="C488" s="18" t="str">
        <f>Source!F664</f>
        <v>1.21-2103-9-8/1</v>
      </c>
      <c r="D488" s="18" t="str">
        <f>Source!G664</f>
        <v>Техническое обслуживание силовых сетей, проложенных по кирпичным и бетонным основаниям, добавлять на каждый следующий провод к поз. 21-2103-9-7  (5х25, 5х35)</v>
      </c>
      <c r="E488" s="19" t="str">
        <f>Source!H664</f>
        <v>100 м</v>
      </c>
      <c r="F488" s="9">
        <f>Source!I664</f>
        <v>2.7E-2</v>
      </c>
      <c r="G488" s="21"/>
      <c r="H488" s="20"/>
      <c r="I488" s="9"/>
      <c r="J488" s="9"/>
      <c r="K488" s="21"/>
      <c r="L488" s="21"/>
      <c r="Q488">
        <f>ROUND((Source!BZ664/100)*ROUND((Source!AF664*Source!AV664)*Source!I664, 2), 2)</f>
        <v>32.78</v>
      </c>
      <c r="R488">
        <f>Source!X664</f>
        <v>32.78</v>
      </c>
      <c r="S488">
        <f>ROUND((Source!CA664/100)*ROUND((Source!AF664*Source!AV664)*Source!I664, 2), 2)</f>
        <v>4.68</v>
      </c>
      <c r="T488">
        <f>Source!Y664</f>
        <v>4.68</v>
      </c>
      <c r="U488">
        <f>ROUND((175/100)*ROUND((Source!AE664*Source!AV664)*Source!I664, 2), 2)</f>
        <v>0</v>
      </c>
      <c r="V488">
        <f>ROUND((108/100)*ROUND(Source!CS664*Source!I664, 2), 2)</f>
        <v>0</v>
      </c>
    </row>
    <row r="489" spans="1:22" x14ac:dyDescent="0.2">
      <c r="D489" s="22" t="str">
        <f>"Объем: "&amp;Source!I664&amp;"=(130+"&amp;"5)*"&amp;"0,2*"&amp;"0,1/"&amp;"100"</f>
        <v>Объем: 0,027=(130+5)*0,2*0,1/100</v>
      </c>
    </row>
    <row r="490" spans="1:22" ht="14.25" x14ac:dyDescent="0.2">
      <c r="A490" s="18"/>
      <c r="B490" s="18"/>
      <c r="C490" s="18"/>
      <c r="D490" s="18" t="s">
        <v>536</v>
      </c>
      <c r="E490" s="19"/>
      <c r="F490" s="9"/>
      <c r="G490" s="21">
        <f>Source!AO664</f>
        <v>1734.42</v>
      </c>
      <c r="H490" s="20" t="str">
        <f>Source!DG664</f>
        <v/>
      </c>
      <c r="I490" s="9">
        <f>Source!AV664</f>
        <v>1</v>
      </c>
      <c r="J490" s="9">
        <f>IF(Source!BA664&lt;&gt; 0, Source!BA664, 1)</f>
        <v>1</v>
      </c>
      <c r="K490" s="21">
        <f>Source!S664</f>
        <v>46.83</v>
      </c>
      <c r="L490" s="21"/>
    </row>
    <row r="491" spans="1:22" ht="14.25" x14ac:dyDescent="0.2">
      <c r="A491" s="18"/>
      <c r="B491" s="18"/>
      <c r="C491" s="18"/>
      <c r="D491" s="18" t="s">
        <v>544</v>
      </c>
      <c r="E491" s="19"/>
      <c r="F491" s="9"/>
      <c r="G491" s="21">
        <f>Source!AL664</f>
        <v>4.13</v>
      </c>
      <c r="H491" s="20" t="str">
        <f>Source!DD664</f>
        <v/>
      </c>
      <c r="I491" s="9">
        <f>Source!AW664</f>
        <v>1</v>
      </c>
      <c r="J491" s="9">
        <f>IF(Source!BC664&lt;&gt; 0, Source!BC664, 1)</f>
        <v>1</v>
      </c>
      <c r="K491" s="21">
        <f>Source!P664</f>
        <v>0.11</v>
      </c>
      <c r="L491" s="21"/>
    </row>
    <row r="492" spans="1:22" ht="14.25" x14ac:dyDescent="0.2">
      <c r="A492" s="18"/>
      <c r="B492" s="18"/>
      <c r="C492" s="18"/>
      <c r="D492" s="18" t="s">
        <v>537</v>
      </c>
      <c r="E492" s="19" t="s">
        <v>538</v>
      </c>
      <c r="F492" s="9">
        <f>Source!AT664</f>
        <v>70</v>
      </c>
      <c r="G492" s="21"/>
      <c r="H492" s="20"/>
      <c r="I492" s="9"/>
      <c r="J492" s="9"/>
      <c r="K492" s="21">
        <f>SUM(R488:R491)</f>
        <v>32.78</v>
      </c>
      <c r="L492" s="21"/>
    </row>
    <row r="493" spans="1:22" ht="14.25" x14ac:dyDescent="0.2">
      <c r="A493" s="18"/>
      <c r="B493" s="18"/>
      <c r="C493" s="18"/>
      <c r="D493" s="18" t="s">
        <v>539</v>
      </c>
      <c r="E493" s="19" t="s">
        <v>538</v>
      </c>
      <c r="F493" s="9">
        <f>Source!AU664</f>
        <v>10</v>
      </c>
      <c r="G493" s="21"/>
      <c r="H493" s="20"/>
      <c r="I493" s="9"/>
      <c r="J493" s="9"/>
      <c r="K493" s="21">
        <f>SUM(T488:T492)</f>
        <v>4.68</v>
      </c>
      <c r="L493" s="21"/>
    </row>
    <row r="494" spans="1:22" ht="14.25" x14ac:dyDescent="0.2">
      <c r="A494" s="18"/>
      <c r="B494" s="18"/>
      <c r="C494" s="18"/>
      <c r="D494" s="18" t="s">
        <v>540</v>
      </c>
      <c r="E494" s="19" t="s">
        <v>541</v>
      </c>
      <c r="F494" s="9">
        <f>Source!AQ664</f>
        <v>3.24</v>
      </c>
      <c r="G494" s="21"/>
      <c r="H494" s="20" t="str">
        <f>Source!DI664</f>
        <v/>
      </c>
      <c r="I494" s="9">
        <f>Source!AV664</f>
        <v>1</v>
      </c>
      <c r="J494" s="9"/>
      <c r="K494" s="21"/>
      <c r="L494" s="21">
        <f>Source!U664</f>
        <v>8.7480000000000002E-2</v>
      </c>
    </row>
    <row r="495" spans="1:22" ht="15" x14ac:dyDescent="0.25">
      <c r="A495" s="24"/>
      <c r="B495" s="24"/>
      <c r="C495" s="24"/>
      <c r="D495" s="24"/>
      <c r="E495" s="24"/>
      <c r="F495" s="24"/>
      <c r="G495" s="24"/>
      <c r="H495" s="24"/>
      <c r="I495" s="24"/>
      <c r="J495" s="44">
        <f>K490+K491+K492+K493</f>
        <v>84.4</v>
      </c>
      <c r="K495" s="44"/>
      <c r="L495" s="25">
        <f>IF(Source!I664&lt;&gt;0, ROUND(J495/Source!I664, 2), 0)</f>
        <v>3125.93</v>
      </c>
      <c r="P495" s="23">
        <f>J495</f>
        <v>84.4</v>
      </c>
    </row>
    <row r="496" spans="1:22" ht="71.25" x14ac:dyDescent="0.2">
      <c r="A496" s="18">
        <v>52</v>
      </c>
      <c r="B496" s="18">
        <v>52</v>
      </c>
      <c r="C496" s="18" t="str">
        <f>Source!F666</f>
        <v>1.21-2103-9-1/1</v>
      </c>
      <c r="D496" s="18" t="str">
        <f>Source!G666</f>
        <v>Техническое обслуживание силовых сетей, проложенных по кирпичным и бетонным основаниям, провод сечением 2х1,5-6 мм2 (Провод медный желто-зеленый ПуГВ 1х6)</v>
      </c>
      <c r="E496" s="19" t="str">
        <f>Source!H666</f>
        <v>100 м</v>
      </c>
      <c r="F496" s="9">
        <f>Source!I666</f>
        <v>0.05</v>
      </c>
      <c r="G496" s="21"/>
      <c r="H496" s="20"/>
      <c r="I496" s="9"/>
      <c r="J496" s="9"/>
      <c r="K496" s="21"/>
      <c r="L496" s="21"/>
      <c r="Q496">
        <f>ROUND((Source!BZ666/100)*ROUND((Source!AF666*Source!AV666)*Source!I666, 2), 2)</f>
        <v>133.78</v>
      </c>
      <c r="R496">
        <f>Source!X666</f>
        <v>133.78</v>
      </c>
      <c r="S496">
        <f>ROUND((Source!CA666/100)*ROUND((Source!AF666*Source!AV666)*Source!I666, 2), 2)</f>
        <v>19.11</v>
      </c>
      <c r="T496">
        <f>Source!Y666</f>
        <v>19.11</v>
      </c>
      <c r="U496">
        <f>ROUND((175/100)*ROUND((Source!AE666*Source!AV666)*Source!I666, 2), 2)</f>
        <v>0</v>
      </c>
      <c r="V496">
        <f>ROUND((108/100)*ROUND(Source!CS666*Source!I666, 2), 2)</f>
        <v>0</v>
      </c>
    </row>
    <row r="497" spans="1:22" x14ac:dyDescent="0.2">
      <c r="D497" s="22" t="str">
        <f>"Объем: "&amp;Source!I666&amp;"=(250)*"&amp;"0,2*"&amp;"0,1/"&amp;"100"</f>
        <v>Объем: 0,05=(250)*0,2*0,1/100</v>
      </c>
    </row>
    <row r="498" spans="1:22" ht="14.25" x14ac:dyDescent="0.2">
      <c r="A498" s="18"/>
      <c r="B498" s="18"/>
      <c r="C498" s="18"/>
      <c r="D498" s="18" t="s">
        <v>536</v>
      </c>
      <c r="E498" s="19"/>
      <c r="F498" s="9"/>
      <c r="G498" s="21">
        <f>Source!AO666</f>
        <v>3822.15</v>
      </c>
      <c r="H498" s="20" t="str">
        <f>Source!DG666</f>
        <v/>
      </c>
      <c r="I498" s="9">
        <f>Source!AV666</f>
        <v>1</v>
      </c>
      <c r="J498" s="9">
        <f>IF(Source!BA666&lt;&gt; 0, Source!BA666, 1)</f>
        <v>1</v>
      </c>
      <c r="K498" s="21">
        <f>Source!S666</f>
        <v>191.11</v>
      </c>
      <c r="L498" s="21"/>
    </row>
    <row r="499" spans="1:22" ht="14.25" x14ac:dyDescent="0.2">
      <c r="A499" s="18"/>
      <c r="B499" s="18"/>
      <c r="C499" s="18"/>
      <c r="D499" s="18" t="s">
        <v>544</v>
      </c>
      <c r="E499" s="19"/>
      <c r="F499" s="9"/>
      <c r="G499" s="21">
        <f>Source!AL666</f>
        <v>22.51</v>
      </c>
      <c r="H499" s="20" t="str">
        <f>Source!DD666</f>
        <v/>
      </c>
      <c r="I499" s="9">
        <f>Source!AW666</f>
        <v>1</v>
      </c>
      <c r="J499" s="9">
        <f>IF(Source!BC666&lt;&gt; 0, Source!BC666, 1)</f>
        <v>1</v>
      </c>
      <c r="K499" s="21">
        <f>Source!P666</f>
        <v>1.1299999999999999</v>
      </c>
      <c r="L499" s="21"/>
    </row>
    <row r="500" spans="1:22" ht="14.25" x14ac:dyDescent="0.2">
      <c r="A500" s="18"/>
      <c r="B500" s="18"/>
      <c r="C500" s="18"/>
      <c r="D500" s="18" t="s">
        <v>537</v>
      </c>
      <c r="E500" s="19" t="s">
        <v>538</v>
      </c>
      <c r="F500" s="9">
        <f>Source!AT666</f>
        <v>70</v>
      </c>
      <c r="G500" s="21"/>
      <c r="H500" s="20"/>
      <c r="I500" s="9"/>
      <c r="J500" s="9"/>
      <c r="K500" s="21">
        <f>SUM(R496:R499)</f>
        <v>133.78</v>
      </c>
      <c r="L500" s="21"/>
    </row>
    <row r="501" spans="1:22" ht="14.25" x14ac:dyDescent="0.2">
      <c r="A501" s="18"/>
      <c r="B501" s="18"/>
      <c r="C501" s="18"/>
      <c r="D501" s="18" t="s">
        <v>539</v>
      </c>
      <c r="E501" s="19" t="s">
        <v>538</v>
      </c>
      <c r="F501" s="9">
        <f>Source!AU666</f>
        <v>10</v>
      </c>
      <c r="G501" s="21"/>
      <c r="H501" s="20"/>
      <c r="I501" s="9"/>
      <c r="J501" s="9"/>
      <c r="K501" s="21">
        <f>SUM(T496:T500)</f>
        <v>19.11</v>
      </c>
      <c r="L501" s="21"/>
    </row>
    <row r="502" spans="1:22" ht="14.25" x14ac:dyDescent="0.2">
      <c r="A502" s="18"/>
      <c r="B502" s="18"/>
      <c r="C502" s="18"/>
      <c r="D502" s="18" t="s">
        <v>540</v>
      </c>
      <c r="E502" s="19" t="s">
        <v>541</v>
      </c>
      <c r="F502" s="9">
        <f>Source!AQ666</f>
        <v>7.14</v>
      </c>
      <c r="G502" s="21"/>
      <c r="H502" s="20" t="str">
        <f>Source!DI666</f>
        <v/>
      </c>
      <c r="I502" s="9">
        <f>Source!AV666</f>
        <v>1</v>
      </c>
      <c r="J502" s="9"/>
      <c r="K502" s="21"/>
      <c r="L502" s="21">
        <f>Source!U666</f>
        <v>0.35699999999999998</v>
      </c>
    </row>
    <row r="503" spans="1:22" ht="15" x14ac:dyDescent="0.25">
      <c r="A503" s="24"/>
      <c r="B503" s="24"/>
      <c r="C503" s="24"/>
      <c r="D503" s="24"/>
      <c r="E503" s="24"/>
      <c r="F503" s="24"/>
      <c r="G503" s="24"/>
      <c r="H503" s="24"/>
      <c r="I503" s="24"/>
      <c r="J503" s="44">
        <f>K498+K499+K500+K501</f>
        <v>345.13</v>
      </c>
      <c r="K503" s="44"/>
      <c r="L503" s="25">
        <f>IF(Source!I666&lt;&gt;0, ROUND(J503/Source!I666, 2), 0)</f>
        <v>6902.6</v>
      </c>
      <c r="P503" s="23">
        <f>J503</f>
        <v>345.13</v>
      </c>
    </row>
    <row r="504" spans="1:22" ht="42.75" x14ac:dyDescent="0.2">
      <c r="A504" s="18">
        <v>53</v>
      </c>
      <c r="B504" s="18">
        <v>53</v>
      </c>
      <c r="C504" s="18" t="str">
        <f>Source!F668</f>
        <v>1.22-2103-2-1/1</v>
      </c>
      <c r="D504" s="18" t="str">
        <f>Source!G668</f>
        <v>Техническое обслуживание сетевой линии связи /Кабель симметричный для интерфейса 1х2х0.67</v>
      </c>
      <c r="E504" s="19" t="str">
        <f>Source!H668</f>
        <v>100 м</v>
      </c>
      <c r="F504" s="9">
        <f>Source!I668</f>
        <v>1.35</v>
      </c>
      <c r="G504" s="21"/>
      <c r="H504" s="20"/>
      <c r="I504" s="9"/>
      <c r="J504" s="9"/>
      <c r="K504" s="21"/>
      <c r="L504" s="21"/>
      <c r="Q504">
        <f>ROUND((Source!BZ668/100)*ROUND((Source!AF668*Source!AV668)*Source!I668, 2), 2)</f>
        <v>469.44</v>
      </c>
      <c r="R504">
        <f>Source!X668</f>
        <v>469.44</v>
      </c>
      <c r="S504">
        <f>ROUND((Source!CA668/100)*ROUND((Source!AF668*Source!AV668)*Source!I668, 2), 2)</f>
        <v>67.06</v>
      </c>
      <c r="T504">
        <f>Source!Y668</f>
        <v>67.06</v>
      </c>
      <c r="U504">
        <f>ROUND((175/100)*ROUND((Source!AE668*Source!AV668)*Source!I668, 2), 2)</f>
        <v>0</v>
      </c>
      <c r="V504">
        <f>ROUND((108/100)*ROUND(Source!CS668*Source!I668, 2), 2)</f>
        <v>0</v>
      </c>
    </row>
    <row r="505" spans="1:22" x14ac:dyDescent="0.2">
      <c r="D505" s="22" t="str">
        <f>"Объем: "&amp;Source!I668&amp;"=(1350)*"&amp;"0,1/"&amp;"100"</f>
        <v>Объем: 1,35=(1350)*0,1/100</v>
      </c>
    </row>
    <row r="506" spans="1:22" ht="14.25" x14ac:dyDescent="0.2">
      <c r="A506" s="18"/>
      <c r="B506" s="18"/>
      <c r="C506" s="18"/>
      <c r="D506" s="18" t="s">
        <v>536</v>
      </c>
      <c r="E506" s="19"/>
      <c r="F506" s="9"/>
      <c r="G506" s="21">
        <f>Source!AO668</f>
        <v>496.76</v>
      </c>
      <c r="H506" s="20" t="str">
        <f>Source!DG668</f>
        <v/>
      </c>
      <c r="I506" s="9">
        <f>Source!AV668</f>
        <v>1</v>
      </c>
      <c r="J506" s="9">
        <f>IF(Source!BA668&lt;&gt; 0, Source!BA668, 1)</f>
        <v>1</v>
      </c>
      <c r="K506" s="21">
        <f>Source!S668</f>
        <v>670.63</v>
      </c>
      <c r="L506" s="21"/>
    </row>
    <row r="507" spans="1:22" ht="14.25" x14ac:dyDescent="0.2">
      <c r="A507" s="18"/>
      <c r="B507" s="18"/>
      <c r="C507" s="18"/>
      <c r="D507" s="18" t="s">
        <v>537</v>
      </c>
      <c r="E507" s="19" t="s">
        <v>538</v>
      </c>
      <c r="F507" s="9">
        <f>Source!AT668</f>
        <v>70</v>
      </c>
      <c r="G507" s="21"/>
      <c r="H507" s="20"/>
      <c r="I507" s="9"/>
      <c r="J507" s="9"/>
      <c r="K507" s="21">
        <f>SUM(R504:R506)</f>
        <v>469.44</v>
      </c>
      <c r="L507" s="21"/>
    </row>
    <row r="508" spans="1:22" ht="14.25" x14ac:dyDescent="0.2">
      <c r="A508" s="18"/>
      <c r="B508" s="18"/>
      <c r="C508" s="18"/>
      <c r="D508" s="18" t="s">
        <v>539</v>
      </c>
      <c r="E508" s="19" t="s">
        <v>538</v>
      </c>
      <c r="F508" s="9">
        <f>Source!AU668</f>
        <v>10</v>
      </c>
      <c r="G508" s="21"/>
      <c r="H508" s="20"/>
      <c r="I508" s="9"/>
      <c r="J508" s="9"/>
      <c r="K508" s="21">
        <f>SUM(T504:T507)</f>
        <v>67.06</v>
      </c>
      <c r="L508" s="21"/>
    </row>
    <row r="509" spans="1:22" ht="14.25" x14ac:dyDescent="0.2">
      <c r="A509" s="18"/>
      <c r="B509" s="18"/>
      <c r="C509" s="18"/>
      <c r="D509" s="18" t="s">
        <v>540</v>
      </c>
      <c r="E509" s="19" t="s">
        <v>541</v>
      </c>
      <c r="F509" s="9">
        <f>Source!AQ668</f>
        <v>0.7</v>
      </c>
      <c r="G509" s="21"/>
      <c r="H509" s="20" t="str">
        <f>Source!DI668</f>
        <v/>
      </c>
      <c r="I509" s="9">
        <f>Source!AV668</f>
        <v>1</v>
      </c>
      <c r="J509" s="9"/>
      <c r="K509" s="21"/>
      <c r="L509" s="21">
        <f>Source!U668</f>
        <v>0.94499999999999995</v>
      </c>
    </row>
    <row r="510" spans="1:22" ht="15" x14ac:dyDescent="0.25">
      <c r="A510" s="24"/>
      <c r="B510" s="24"/>
      <c r="C510" s="24"/>
      <c r="D510" s="24"/>
      <c r="E510" s="24"/>
      <c r="F510" s="24"/>
      <c r="G510" s="24"/>
      <c r="H510" s="24"/>
      <c r="I510" s="24"/>
      <c r="J510" s="44">
        <f>K506+K507+K508</f>
        <v>1207.1299999999999</v>
      </c>
      <c r="K510" s="44"/>
      <c r="L510" s="25">
        <f>IF(Source!I668&lt;&gt;0, ROUND(J510/Source!I668, 2), 0)</f>
        <v>894.17</v>
      </c>
      <c r="P510" s="23">
        <f>J510</f>
        <v>1207.1299999999999</v>
      </c>
    </row>
    <row r="511" spans="1:22" ht="71.25" x14ac:dyDescent="0.2">
      <c r="A511" s="18">
        <v>54</v>
      </c>
      <c r="B511" s="18">
        <v>54</v>
      </c>
      <c r="C511" s="18" t="str">
        <f>Source!F669</f>
        <v>1.21-2103-9-7/1</v>
      </c>
      <c r="D511" s="18" t="str">
        <f>Source!G669</f>
        <v>Техническое обслуживание силовых сетей, проложенных по кирпичным и бетонным основаниям, провод сечением 3х25-35 мм2 (Провод медный желто-зеленый ПуГВ 1х25)</v>
      </c>
      <c r="E511" s="19" t="str">
        <f>Source!H669</f>
        <v>100 м</v>
      </c>
      <c r="F511" s="9">
        <f>Source!I669</f>
        <v>8.5999999999999993E-2</v>
      </c>
      <c r="G511" s="21"/>
      <c r="H511" s="20"/>
      <c r="I511" s="9"/>
      <c r="J511" s="9"/>
      <c r="K511" s="21"/>
      <c r="L511" s="21"/>
      <c r="Q511">
        <f>ROUND((Source!BZ669/100)*ROUND((Source!AF669*Source!AV669)*Source!I669, 2), 2)</f>
        <v>469.85</v>
      </c>
      <c r="R511">
        <f>Source!X669</f>
        <v>469.85</v>
      </c>
      <c r="S511">
        <f>ROUND((Source!CA669/100)*ROUND((Source!AF669*Source!AV669)*Source!I669, 2), 2)</f>
        <v>67.12</v>
      </c>
      <c r="T511">
        <f>Source!Y669</f>
        <v>67.12</v>
      </c>
      <c r="U511">
        <f>ROUND((175/100)*ROUND((Source!AE669*Source!AV669)*Source!I669, 2), 2)</f>
        <v>0</v>
      </c>
      <c r="V511">
        <f>ROUND((108/100)*ROUND(Source!CS669*Source!I669, 2), 2)</f>
        <v>0</v>
      </c>
    </row>
    <row r="512" spans="1:22" x14ac:dyDescent="0.2">
      <c r="D512" s="22" t="str">
        <f>"Объем: "&amp;Source!I669&amp;"=(430)*"&amp;"0,2*"&amp;"0,1/"&amp;"100"</f>
        <v>Объем: 0,086=(430)*0,2*0,1/100</v>
      </c>
    </row>
    <row r="513" spans="1:22" ht="14.25" x14ac:dyDescent="0.2">
      <c r="A513" s="18"/>
      <c r="B513" s="18"/>
      <c r="C513" s="18"/>
      <c r="D513" s="18" t="s">
        <v>536</v>
      </c>
      <c r="E513" s="19"/>
      <c r="F513" s="9"/>
      <c r="G513" s="21">
        <f>Source!AO669</f>
        <v>7804.89</v>
      </c>
      <c r="H513" s="20" t="str">
        <f>Source!DG669</f>
        <v/>
      </c>
      <c r="I513" s="9">
        <f>Source!AV669</f>
        <v>1</v>
      </c>
      <c r="J513" s="9">
        <f>IF(Source!BA669&lt;&gt; 0, Source!BA669, 1)</f>
        <v>1</v>
      </c>
      <c r="K513" s="21">
        <f>Source!S669</f>
        <v>671.22</v>
      </c>
      <c r="L513" s="21"/>
    </row>
    <row r="514" spans="1:22" ht="14.25" x14ac:dyDescent="0.2">
      <c r="A514" s="18"/>
      <c r="B514" s="18"/>
      <c r="C514" s="18"/>
      <c r="D514" s="18" t="s">
        <v>544</v>
      </c>
      <c r="E514" s="19"/>
      <c r="F514" s="9"/>
      <c r="G514" s="21">
        <f>Source!AL669</f>
        <v>19.13</v>
      </c>
      <c r="H514" s="20" t="str">
        <f>Source!DD669</f>
        <v/>
      </c>
      <c r="I514" s="9">
        <f>Source!AW669</f>
        <v>1</v>
      </c>
      <c r="J514" s="9">
        <f>IF(Source!BC669&lt;&gt; 0, Source!BC669, 1)</f>
        <v>1</v>
      </c>
      <c r="K514" s="21">
        <f>Source!P669</f>
        <v>1.65</v>
      </c>
      <c r="L514" s="21"/>
    </row>
    <row r="515" spans="1:22" ht="14.25" x14ac:dyDescent="0.2">
      <c r="A515" s="18"/>
      <c r="B515" s="18"/>
      <c r="C515" s="18"/>
      <c r="D515" s="18" t="s">
        <v>537</v>
      </c>
      <c r="E515" s="19" t="s">
        <v>538</v>
      </c>
      <c r="F515" s="9">
        <f>Source!AT669</f>
        <v>70</v>
      </c>
      <c r="G515" s="21"/>
      <c r="H515" s="20"/>
      <c r="I515" s="9"/>
      <c r="J515" s="9"/>
      <c r="K515" s="21">
        <f>SUM(R511:R514)</f>
        <v>469.85</v>
      </c>
      <c r="L515" s="21"/>
    </row>
    <row r="516" spans="1:22" ht="14.25" x14ac:dyDescent="0.2">
      <c r="A516" s="18"/>
      <c r="B516" s="18"/>
      <c r="C516" s="18"/>
      <c r="D516" s="18" t="s">
        <v>539</v>
      </c>
      <c r="E516" s="19" t="s">
        <v>538</v>
      </c>
      <c r="F516" s="9">
        <f>Source!AU669</f>
        <v>10</v>
      </c>
      <c r="G516" s="21"/>
      <c r="H516" s="20"/>
      <c r="I516" s="9"/>
      <c r="J516" s="9"/>
      <c r="K516" s="21">
        <f>SUM(T511:T515)</f>
        <v>67.12</v>
      </c>
      <c r="L516" s="21"/>
    </row>
    <row r="517" spans="1:22" ht="14.25" x14ac:dyDescent="0.2">
      <c r="A517" s="18"/>
      <c r="B517" s="18"/>
      <c r="C517" s="18"/>
      <c r="D517" s="18" t="s">
        <v>540</v>
      </c>
      <c r="E517" s="19" t="s">
        <v>541</v>
      </c>
      <c r="F517" s="9">
        <f>Source!AQ669</f>
        <v>14.58</v>
      </c>
      <c r="G517" s="21"/>
      <c r="H517" s="20" t="str">
        <f>Source!DI669</f>
        <v/>
      </c>
      <c r="I517" s="9">
        <f>Source!AV669</f>
        <v>1</v>
      </c>
      <c r="J517" s="9"/>
      <c r="K517" s="21"/>
      <c r="L517" s="21">
        <f>Source!U669</f>
        <v>1.2538799999999999</v>
      </c>
    </row>
    <row r="518" spans="1:22" ht="15" x14ac:dyDescent="0.25">
      <c r="A518" s="24"/>
      <c r="B518" s="24"/>
      <c r="C518" s="24"/>
      <c r="D518" s="24"/>
      <c r="E518" s="24"/>
      <c r="F518" s="24"/>
      <c r="G518" s="24"/>
      <c r="H518" s="24"/>
      <c r="I518" s="24"/>
      <c r="J518" s="44">
        <f>K513+K514+K515+K516</f>
        <v>1209.8400000000001</v>
      </c>
      <c r="K518" s="44"/>
      <c r="L518" s="25">
        <f>IF(Source!I669&lt;&gt;0, ROUND(J518/Source!I669, 2), 0)</f>
        <v>14067.91</v>
      </c>
      <c r="P518" s="23">
        <f>J518</f>
        <v>1209.8400000000001</v>
      </c>
    </row>
    <row r="519" spans="1:22" ht="85.5" x14ac:dyDescent="0.2">
      <c r="A519" s="18">
        <v>55</v>
      </c>
      <c r="B519" s="18">
        <v>55</v>
      </c>
      <c r="C519" s="18" t="str">
        <f>Source!F670</f>
        <v>1.21-2103-9-8/1</v>
      </c>
      <c r="D519" s="18" t="str">
        <f>Source!G670</f>
        <v>Техническое обслуживание силовых сетей, проложенных по кирпичным и бетонным основаниям, добавлять на каждый следующий провод к поз. 21-2103-9-7  (Провод медный желто-зеленый ПуГВ 1х25)</v>
      </c>
      <c r="E519" s="19" t="str">
        <f>Source!H670</f>
        <v>100 м</v>
      </c>
      <c r="F519" s="9">
        <f>Source!I670</f>
        <v>8.5999999999999993E-2</v>
      </c>
      <c r="G519" s="21"/>
      <c r="H519" s="20"/>
      <c r="I519" s="9"/>
      <c r="J519" s="9"/>
      <c r="K519" s="21"/>
      <c r="L519" s="21"/>
      <c r="Q519">
        <f>ROUND((Source!BZ670/100)*ROUND((Source!AF670*Source!AV670)*Source!I670, 2), 2)</f>
        <v>104.41</v>
      </c>
      <c r="R519">
        <f>Source!X670</f>
        <v>104.41</v>
      </c>
      <c r="S519">
        <f>ROUND((Source!CA670/100)*ROUND((Source!AF670*Source!AV670)*Source!I670, 2), 2)</f>
        <v>14.92</v>
      </c>
      <c r="T519">
        <f>Source!Y670</f>
        <v>14.92</v>
      </c>
      <c r="U519">
        <f>ROUND((175/100)*ROUND((Source!AE670*Source!AV670)*Source!I670, 2), 2)</f>
        <v>0</v>
      </c>
      <c r="V519">
        <f>ROUND((108/100)*ROUND(Source!CS670*Source!I670, 2), 2)</f>
        <v>0</v>
      </c>
    </row>
    <row r="520" spans="1:22" x14ac:dyDescent="0.2">
      <c r="D520" s="22" t="str">
        <f>"Объем: "&amp;Source!I670&amp;"=(430)*"&amp;"0,2*"&amp;"0,1/"&amp;"100"</f>
        <v>Объем: 0,086=(430)*0,2*0,1/100</v>
      </c>
    </row>
    <row r="521" spans="1:22" ht="14.25" x14ac:dyDescent="0.2">
      <c r="A521" s="18"/>
      <c r="B521" s="18"/>
      <c r="C521" s="18"/>
      <c r="D521" s="18" t="s">
        <v>536</v>
      </c>
      <c r="E521" s="19"/>
      <c r="F521" s="9"/>
      <c r="G521" s="21">
        <f>Source!AO670</f>
        <v>1734.42</v>
      </c>
      <c r="H521" s="20" t="str">
        <f>Source!DG670</f>
        <v/>
      </c>
      <c r="I521" s="9">
        <f>Source!AV670</f>
        <v>1</v>
      </c>
      <c r="J521" s="9">
        <f>IF(Source!BA670&lt;&gt; 0, Source!BA670, 1)</f>
        <v>1</v>
      </c>
      <c r="K521" s="21">
        <f>Source!S670</f>
        <v>149.16</v>
      </c>
      <c r="L521" s="21"/>
    </row>
    <row r="522" spans="1:22" ht="14.25" x14ac:dyDescent="0.2">
      <c r="A522" s="18"/>
      <c r="B522" s="18"/>
      <c r="C522" s="18"/>
      <c r="D522" s="18" t="s">
        <v>544</v>
      </c>
      <c r="E522" s="19"/>
      <c r="F522" s="9"/>
      <c r="G522" s="21">
        <f>Source!AL670</f>
        <v>4.13</v>
      </c>
      <c r="H522" s="20" t="str">
        <f>Source!DD670</f>
        <v/>
      </c>
      <c r="I522" s="9">
        <f>Source!AW670</f>
        <v>1</v>
      </c>
      <c r="J522" s="9">
        <f>IF(Source!BC670&lt;&gt; 0, Source!BC670, 1)</f>
        <v>1</v>
      </c>
      <c r="K522" s="21">
        <f>Source!P670</f>
        <v>0.36</v>
      </c>
      <c r="L522" s="21"/>
    </row>
    <row r="523" spans="1:22" ht="14.25" x14ac:dyDescent="0.2">
      <c r="A523" s="18"/>
      <c r="B523" s="18"/>
      <c r="C523" s="18"/>
      <c r="D523" s="18" t="s">
        <v>537</v>
      </c>
      <c r="E523" s="19" t="s">
        <v>538</v>
      </c>
      <c r="F523" s="9">
        <f>Source!AT670</f>
        <v>70</v>
      </c>
      <c r="G523" s="21"/>
      <c r="H523" s="20"/>
      <c r="I523" s="9"/>
      <c r="J523" s="9"/>
      <c r="K523" s="21">
        <f>SUM(R519:R522)</f>
        <v>104.41</v>
      </c>
      <c r="L523" s="21"/>
    </row>
    <row r="524" spans="1:22" ht="14.25" x14ac:dyDescent="0.2">
      <c r="A524" s="18"/>
      <c r="B524" s="18"/>
      <c r="C524" s="18"/>
      <c r="D524" s="18" t="s">
        <v>539</v>
      </c>
      <c r="E524" s="19" t="s">
        <v>538</v>
      </c>
      <c r="F524" s="9">
        <f>Source!AU670</f>
        <v>10</v>
      </c>
      <c r="G524" s="21"/>
      <c r="H524" s="20"/>
      <c r="I524" s="9"/>
      <c r="J524" s="9"/>
      <c r="K524" s="21">
        <f>SUM(T519:T523)</f>
        <v>14.92</v>
      </c>
      <c r="L524" s="21"/>
    </row>
    <row r="525" spans="1:22" ht="14.25" x14ac:dyDescent="0.2">
      <c r="A525" s="18"/>
      <c r="B525" s="18"/>
      <c r="C525" s="18"/>
      <c r="D525" s="18" t="s">
        <v>540</v>
      </c>
      <c r="E525" s="19" t="s">
        <v>541</v>
      </c>
      <c r="F525" s="9">
        <f>Source!AQ670</f>
        <v>3.24</v>
      </c>
      <c r="G525" s="21"/>
      <c r="H525" s="20" t="str">
        <f>Source!DI670</f>
        <v/>
      </c>
      <c r="I525" s="9">
        <f>Source!AV670</f>
        <v>1</v>
      </c>
      <c r="J525" s="9"/>
      <c r="K525" s="21"/>
      <c r="L525" s="21">
        <f>Source!U670</f>
        <v>0.27864</v>
      </c>
    </row>
    <row r="526" spans="1:22" ht="15" x14ac:dyDescent="0.25">
      <c r="A526" s="24"/>
      <c r="B526" s="24"/>
      <c r="C526" s="24"/>
      <c r="D526" s="24"/>
      <c r="E526" s="24"/>
      <c r="F526" s="24"/>
      <c r="G526" s="24"/>
      <c r="H526" s="24"/>
      <c r="I526" s="24"/>
      <c r="J526" s="44">
        <f>K521+K522+K523+K524</f>
        <v>268.85000000000002</v>
      </c>
      <c r="K526" s="44"/>
      <c r="L526" s="25">
        <f>IF(Source!I670&lt;&gt;0, ROUND(J526/Source!I670, 2), 0)</f>
        <v>3126.16</v>
      </c>
      <c r="P526" s="23">
        <f>J526</f>
        <v>268.85000000000002</v>
      </c>
    </row>
    <row r="527" spans="1:22" ht="28.5" x14ac:dyDescent="0.2">
      <c r="A527" s="18">
        <v>56</v>
      </c>
      <c r="B527" s="18">
        <v>56</v>
      </c>
      <c r="C527" s="18" t="str">
        <f>Source!F671</f>
        <v>1.22-2103-2-1/1</v>
      </c>
      <c r="D527" s="18" t="str">
        <f>Source!G671</f>
        <v>Техническое обслуживание сетевой линии связи/ Кабель витая пара</v>
      </c>
      <c r="E527" s="19" t="str">
        <f>Source!H671</f>
        <v>100 м</v>
      </c>
      <c r="F527" s="9">
        <f>Source!I671</f>
        <v>0.25</v>
      </c>
      <c r="G527" s="21"/>
      <c r="H527" s="20"/>
      <c r="I527" s="9"/>
      <c r="J527" s="9"/>
      <c r="K527" s="21"/>
      <c r="L527" s="21"/>
      <c r="Q527">
        <f>ROUND((Source!BZ671/100)*ROUND((Source!AF671*Source!AV671)*Source!I671, 2), 2)</f>
        <v>86.93</v>
      </c>
      <c r="R527">
        <f>Source!X671</f>
        <v>86.93</v>
      </c>
      <c r="S527">
        <f>ROUND((Source!CA671/100)*ROUND((Source!AF671*Source!AV671)*Source!I671, 2), 2)</f>
        <v>12.42</v>
      </c>
      <c r="T527">
        <f>Source!Y671</f>
        <v>12.42</v>
      </c>
      <c r="U527">
        <f>ROUND((175/100)*ROUND((Source!AE671*Source!AV671)*Source!I671, 2), 2)</f>
        <v>0</v>
      </c>
      <c r="V527">
        <f>ROUND((108/100)*ROUND(Source!CS671*Source!I671, 2), 2)</f>
        <v>0</v>
      </c>
    </row>
    <row r="528" spans="1:22" x14ac:dyDescent="0.2">
      <c r="D528" s="22" t="str">
        <f>"Объем: "&amp;Source!I671&amp;"=250*"&amp;"0,1/"&amp;"100"</f>
        <v>Объем: 0,25=250*0,1/100</v>
      </c>
    </row>
    <row r="529" spans="1:16" ht="14.25" x14ac:dyDescent="0.2">
      <c r="A529" s="18"/>
      <c r="B529" s="18"/>
      <c r="C529" s="18"/>
      <c r="D529" s="18" t="s">
        <v>536</v>
      </c>
      <c r="E529" s="19"/>
      <c r="F529" s="9"/>
      <c r="G529" s="21">
        <f>Source!AO671</f>
        <v>496.76</v>
      </c>
      <c r="H529" s="20" t="str">
        <f>Source!DG671</f>
        <v/>
      </c>
      <c r="I529" s="9">
        <f>Source!AV671</f>
        <v>1</v>
      </c>
      <c r="J529" s="9">
        <f>IF(Source!BA671&lt;&gt; 0, Source!BA671, 1)</f>
        <v>1</v>
      </c>
      <c r="K529" s="21">
        <f>Source!S671</f>
        <v>124.19</v>
      </c>
      <c r="L529" s="21"/>
    </row>
    <row r="530" spans="1:16" ht="14.25" x14ac:dyDescent="0.2">
      <c r="A530" s="18"/>
      <c r="B530" s="18"/>
      <c r="C530" s="18"/>
      <c r="D530" s="18" t="s">
        <v>537</v>
      </c>
      <c r="E530" s="19" t="s">
        <v>538</v>
      </c>
      <c r="F530" s="9">
        <f>Source!AT671</f>
        <v>70</v>
      </c>
      <c r="G530" s="21"/>
      <c r="H530" s="20"/>
      <c r="I530" s="9"/>
      <c r="J530" s="9"/>
      <c r="K530" s="21">
        <f>SUM(R527:R529)</f>
        <v>86.93</v>
      </c>
      <c r="L530" s="21"/>
    </row>
    <row r="531" spans="1:16" ht="14.25" x14ac:dyDescent="0.2">
      <c r="A531" s="18"/>
      <c r="B531" s="18"/>
      <c r="C531" s="18"/>
      <c r="D531" s="18" t="s">
        <v>539</v>
      </c>
      <c r="E531" s="19" t="s">
        <v>538</v>
      </c>
      <c r="F531" s="9">
        <f>Source!AU671</f>
        <v>10</v>
      </c>
      <c r="G531" s="21"/>
      <c r="H531" s="20"/>
      <c r="I531" s="9"/>
      <c r="J531" s="9"/>
      <c r="K531" s="21">
        <f>SUM(T527:T530)</f>
        <v>12.42</v>
      </c>
      <c r="L531" s="21"/>
    </row>
    <row r="532" spans="1:16" ht="14.25" x14ac:dyDescent="0.2">
      <c r="A532" s="18"/>
      <c r="B532" s="18"/>
      <c r="C532" s="18"/>
      <c r="D532" s="18" t="s">
        <v>540</v>
      </c>
      <c r="E532" s="19" t="s">
        <v>541</v>
      </c>
      <c r="F532" s="9">
        <f>Source!AQ671</f>
        <v>0.7</v>
      </c>
      <c r="G532" s="21"/>
      <c r="H532" s="20" t="str">
        <f>Source!DI671</f>
        <v/>
      </c>
      <c r="I532" s="9">
        <f>Source!AV671</f>
        <v>1</v>
      </c>
      <c r="J532" s="9"/>
      <c r="K532" s="21"/>
      <c r="L532" s="21">
        <f>Source!U671</f>
        <v>0.17499999999999999</v>
      </c>
    </row>
    <row r="533" spans="1:16" ht="15" x14ac:dyDescent="0.25">
      <c r="A533" s="24"/>
      <c r="B533" s="24"/>
      <c r="C533" s="24"/>
      <c r="D533" s="24"/>
      <c r="E533" s="24"/>
      <c r="F533" s="24"/>
      <c r="G533" s="24"/>
      <c r="H533" s="24"/>
      <c r="I533" s="24"/>
      <c r="J533" s="44">
        <f>K529+K530+K531</f>
        <v>223.54</v>
      </c>
      <c r="K533" s="44"/>
      <c r="L533" s="25">
        <f>IF(Source!I671&lt;&gt;0, ROUND(J533/Source!I671, 2), 0)</f>
        <v>894.16</v>
      </c>
      <c r="P533" s="23">
        <f>J533</f>
        <v>223.54</v>
      </c>
    </row>
    <row r="535" spans="1:16" ht="15" x14ac:dyDescent="0.25">
      <c r="A535" s="43" t="str">
        <f>CONCATENATE("Итого по подразделу: ",IF(Source!G673&lt;&gt;"Новый подраздел", Source!G673, ""))</f>
        <v>Итого по подразделу: Кабели и провода</v>
      </c>
      <c r="B535" s="43"/>
      <c r="C535" s="43"/>
      <c r="D535" s="43"/>
      <c r="E535" s="43"/>
      <c r="F535" s="43"/>
      <c r="G535" s="43"/>
      <c r="H535" s="43"/>
      <c r="I535" s="43"/>
      <c r="J535" s="41">
        <f>SUM(P439:P534)</f>
        <v>16818.509999999998</v>
      </c>
      <c r="K535" s="42"/>
      <c r="L535" s="27"/>
    </row>
    <row r="538" spans="1:16" ht="15" x14ac:dyDescent="0.25">
      <c r="A538" s="43" t="str">
        <f>CONCATENATE("Итого по разделу: ",IF(Source!G703&lt;&gt;"Новый раздел", Source!G703, ""))</f>
        <v>Итого по разделу: Электроснабжение и электроосвещение</v>
      </c>
      <c r="B538" s="43"/>
      <c r="C538" s="43"/>
      <c r="D538" s="43"/>
      <c r="E538" s="43"/>
      <c r="F538" s="43"/>
      <c r="G538" s="43"/>
      <c r="H538" s="43"/>
      <c r="I538" s="43"/>
      <c r="J538" s="41">
        <f>SUM(P188:P537)</f>
        <v>655472.31999999983</v>
      </c>
      <c r="K538" s="42"/>
      <c r="L538" s="27"/>
    </row>
    <row r="541" spans="1:16" ht="15" x14ac:dyDescent="0.25">
      <c r="A541" s="43" t="str">
        <f>CONCATENATE("Итого по локальной смете: ",IF(Source!G733&lt;&gt;"Новая локальная смета", Source!G733, ""))</f>
        <v xml:space="preserve">Итого по локальной смете: </v>
      </c>
      <c r="B541" s="43"/>
      <c r="C541" s="43"/>
      <c r="D541" s="43"/>
      <c r="E541" s="43"/>
      <c r="F541" s="43"/>
      <c r="G541" s="43"/>
      <c r="H541" s="43"/>
      <c r="I541" s="43"/>
      <c r="J541" s="41">
        <f>SUM(P38:P540)</f>
        <v>766025.37999999989</v>
      </c>
      <c r="K541" s="42"/>
      <c r="L541" s="27"/>
    </row>
    <row r="544" spans="1:16" ht="15" x14ac:dyDescent="0.25">
      <c r="A544" s="43" t="str">
        <f>CONCATENATE("Итого по смете: ",IF(Source!G763&lt;&gt;"Новый объект", Source!G763, ""))</f>
        <v>Итого по смете: Паркинг 2_на 4 мес. (10%)</v>
      </c>
      <c r="B544" s="43"/>
      <c r="C544" s="43"/>
      <c r="D544" s="43"/>
      <c r="E544" s="43"/>
      <c r="F544" s="43"/>
      <c r="G544" s="43"/>
      <c r="H544" s="43"/>
      <c r="I544" s="43"/>
      <c r="J544" s="41">
        <f>SUM(P1:P543)</f>
        <v>766025.37999999989</v>
      </c>
      <c r="K544" s="42"/>
      <c r="L544" s="27"/>
    </row>
    <row r="545" spans="1:12" ht="14.25" x14ac:dyDescent="0.2">
      <c r="D545" s="37" t="str">
        <f>Source!H792</f>
        <v>Итого</v>
      </c>
      <c r="E545" s="37"/>
      <c r="F545" s="37"/>
      <c r="G545" s="37"/>
      <c r="H545" s="37"/>
      <c r="I545" s="37"/>
      <c r="J545" s="38">
        <f>IF(Source!F792=0, "", Source!F792)</f>
        <v>766025.38</v>
      </c>
      <c r="K545" s="38"/>
    </row>
    <row r="546" spans="1:12" ht="14.25" x14ac:dyDescent="0.2">
      <c r="D546" s="37" t="str">
        <f>Source!H793</f>
        <v>НДС, 22%</v>
      </c>
      <c r="E546" s="37"/>
      <c r="F546" s="37"/>
      <c r="G546" s="37"/>
      <c r="H546" s="37"/>
      <c r="I546" s="37"/>
      <c r="J546" s="38">
        <f>IF(Source!F793=0, "", Source!F793)</f>
        <v>168525.58</v>
      </c>
      <c r="K546" s="38"/>
    </row>
    <row r="547" spans="1:12" ht="14.25" x14ac:dyDescent="0.2">
      <c r="D547" s="37" t="str">
        <f>Source!H794</f>
        <v>Всего с НДС</v>
      </c>
      <c r="E547" s="37"/>
      <c r="F547" s="37"/>
      <c r="G547" s="37"/>
      <c r="H547" s="37"/>
      <c r="I547" s="37"/>
      <c r="J547" s="38">
        <f>IF(Source!F794=0, "", Source!F794)</f>
        <v>934550.96</v>
      </c>
      <c r="K547" s="38"/>
    </row>
    <row r="550" spans="1:12" ht="14.25" x14ac:dyDescent="0.2">
      <c r="A550" s="10"/>
      <c r="B550" s="39" t="s">
        <v>588</v>
      </c>
      <c r="C550" s="39"/>
      <c r="D550" s="28" t="str">
        <f>IF(Source!AM12&lt;&gt;"", Source!AM12," ")</f>
        <v xml:space="preserve"> </v>
      </c>
      <c r="E550" s="28"/>
      <c r="F550" s="28"/>
      <c r="G550" s="28"/>
      <c r="H550" s="28"/>
      <c r="I550" s="10" t="str">
        <f>IF(Source!AL12&lt;&gt;"", Source!AL12," ")</f>
        <v xml:space="preserve"> </v>
      </c>
      <c r="J550" s="10"/>
      <c r="K550" s="10"/>
      <c r="L550" s="10"/>
    </row>
    <row r="551" spans="1:12" ht="14.25" x14ac:dyDescent="0.2">
      <c r="A551" s="10"/>
      <c r="B551" s="10"/>
      <c r="C551" s="10"/>
      <c r="D551" s="40" t="s">
        <v>554</v>
      </c>
      <c r="E551" s="40"/>
      <c r="F551" s="40"/>
      <c r="G551" s="40"/>
      <c r="H551" s="40"/>
      <c r="I551" s="10"/>
      <c r="J551" s="10"/>
      <c r="K551" s="10"/>
      <c r="L551" s="10"/>
    </row>
    <row r="552" spans="1:12" ht="14.25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</row>
    <row r="553" spans="1:12" ht="14.25" x14ac:dyDescent="0.2">
      <c r="A553" s="10"/>
      <c r="B553" s="39" t="s">
        <v>589</v>
      </c>
      <c r="C553" s="39"/>
      <c r="D553" s="28" t="str">
        <f>IF(Source!AI12&lt;&gt;"", Source!AI12," ")</f>
        <v xml:space="preserve"> </v>
      </c>
      <c r="E553" s="28"/>
      <c r="F553" s="28"/>
      <c r="G553" s="28"/>
      <c r="H553" s="28"/>
      <c r="I553" s="10" t="str">
        <f>IF(Source!AH12&lt;&gt;"", Source!AH12," ")</f>
        <v xml:space="preserve"> </v>
      </c>
      <c r="J553" s="10"/>
      <c r="K553" s="10"/>
      <c r="L553" s="10"/>
    </row>
    <row r="554" spans="1:12" ht="14.25" x14ac:dyDescent="0.2">
      <c r="A554" s="10"/>
      <c r="B554" s="10"/>
      <c r="C554" s="10"/>
      <c r="D554" s="40" t="s">
        <v>554</v>
      </c>
      <c r="E554" s="40"/>
      <c r="F554" s="40"/>
      <c r="G554" s="40"/>
      <c r="H554" s="40"/>
      <c r="I554" s="10"/>
      <c r="J554" s="10"/>
      <c r="K554" s="10"/>
      <c r="L554" s="10"/>
    </row>
  </sheetData>
  <mergeCells count="151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A42:L42"/>
    <mergeCell ref="J49:K49"/>
    <mergeCell ref="J56:K56"/>
    <mergeCell ref="J66:K66"/>
    <mergeCell ref="J68:K68"/>
    <mergeCell ref="A68:I68"/>
    <mergeCell ref="J33:J35"/>
    <mergeCell ref="K33:K35"/>
    <mergeCell ref="A34:A35"/>
    <mergeCell ref="B34:B35"/>
    <mergeCell ref="A38:L38"/>
    <mergeCell ref="A40:L40"/>
    <mergeCell ref="J120:K120"/>
    <mergeCell ref="A120:I120"/>
    <mergeCell ref="J123:K123"/>
    <mergeCell ref="A123:I123"/>
    <mergeCell ref="A126:L126"/>
    <mergeCell ref="A128:L128"/>
    <mergeCell ref="A71:L71"/>
    <mergeCell ref="J82:K82"/>
    <mergeCell ref="J93:K93"/>
    <mergeCell ref="J103:K103"/>
    <mergeCell ref="J110:K110"/>
    <mergeCell ref="J118:K118"/>
    <mergeCell ref="A147:L147"/>
    <mergeCell ref="J154:K154"/>
    <mergeCell ref="J161:K161"/>
    <mergeCell ref="J170:K170"/>
    <mergeCell ref="J180:K180"/>
    <mergeCell ref="J182:K182"/>
    <mergeCell ref="A182:I182"/>
    <mergeCell ref="J137:K137"/>
    <mergeCell ref="J139:K139"/>
    <mergeCell ref="A139:I139"/>
    <mergeCell ref="J142:K142"/>
    <mergeCell ref="A142:I142"/>
    <mergeCell ref="A145:L145"/>
    <mergeCell ref="J215:K215"/>
    <mergeCell ref="J222:K222"/>
    <mergeCell ref="J229:K229"/>
    <mergeCell ref="J237:K237"/>
    <mergeCell ref="J245:K245"/>
    <mergeCell ref="J251:K251"/>
    <mergeCell ref="J185:K185"/>
    <mergeCell ref="A185:I185"/>
    <mergeCell ref="A188:L188"/>
    <mergeCell ref="A190:L190"/>
    <mergeCell ref="J197:K197"/>
    <mergeCell ref="J205:K205"/>
    <mergeCell ref="J300:K300"/>
    <mergeCell ref="J308:K308"/>
    <mergeCell ref="J314:K314"/>
    <mergeCell ref="J321:K321"/>
    <mergeCell ref="J329:K329"/>
    <mergeCell ref="J336:K336"/>
    <mergeCell ref="J258:K258"/>
    <mergeCell ref="J266:K266"/>
    <mergeCell ref="J272:K272"/>
    <mergeCell ref="J279:K279"/>
    <mergeCell ref="J287:K287"/>
    <mergeCell ref="J293:K293"/>
    <mergeCell ref="J371:K371"/>
    <mergeCell ref="J379:K379"/>
    <mergeCell ref="J389:K389"/>
    <mergeCell ref="J391:K391"/>
    <mergeCell ref="A391:I391"/>
    <mergeCell ref="A394:L394"/>
    <mergeCell ref="J338:K338"/>
    <mergeCell ref="A338:I338"/>
    <mergeCell ref="A341:L341"/>
    <mergeCell ref="J348:K348"/>
    <mergeCell ref="J356:K356"/>
    <mergeCell ref="J364:K364"/>
    <mergeCell ref="A436:I436"/>
    <mergeCell ref="A439:L439"/>
    <mergeCell ref="J447:K447"/>
    <mergeCell ref="J455:K455"/>
    <mergeCell ref="J463:K463"/>
    <mergeCell ref="J471:K471"/>
    <mergeCell ref="J405:K405"/>
    <mergeCell ref="J413:K413"/>
    <mergeCell ref="J420:K420"/>
    <mergeCell ref="J427:K427"/>
    <mergeCell ref="J434:K434"/>
    <mergeCell ref="J436:K436"/>
    <mergeCell ref="J526:K526"/>
    <mergeCell ref="J533:K533"/>
    <mergeCell ref="J535:K535"/>
    <mergeCell ref="A535:I535"/>
    <mergeCell ref="J538:K538"/>
    <mergeCell ref="A538:I538"/>
    <mergeCell ref="J479:K479"/>
    <mergeCell ref="J487:K487"/>
    <mergeCell ref="J495:K495"/>
    <mergeCell ref="J503:K503"/>
    <mergeCell ref="J510:K510"/>
    <mergeCell ref="J518:K518"/>
    <mergeCell ref="B553:C553"/>
    <mergeCell ref="D554:H554"/>
    <mergeCell ref="D546:I546"/>
    <mergeCell ref="J546:K546"/>
    <mergeCell ref="D547:I547"/>
    <mergeCell ref="J547:K547"/>
    <mergeCell ref="B550:C550"/>
    <mergeCell ref="D551:H551"/>
    <mergeCell ref="J541:K541"/>
    <mergeCell ref="A541:I541"/>
    <mergeCell ref="J544:K544"/>
    <mergeCell ref="A544:I544"/>
    <mergeCell ref="D545:I545"/>
    <mergeCell ref="J545:K545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806"/>
  <sheetViews>
    <sheetView topLeftCell="A743" workbookViewId="0">
      <selection activeCell="F793" sqref="F79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802</v>
      </c>
      <c r="C12" s="1">
        <v>0</v>
      </c>
      <c r="D12" s="1">
        <f>ROW(A763)</f>
        <v>763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B763</f>
        <v>802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Паркинг 2_на 4 мес. (10%)</v>
      </c>
      <c r="H18" s="2"/>
      <c r="I18" s="2"/>
      <c r="J18" s="2"/>
      <c r="K18" s="2"/>
      <c r="L18" s="2"/>
      <c r="M18" s="2"/>
      <c r="N18" s="2"/>
      <c r="O18" s="2">
        <f t="shared" ref="O18:AT18" si="1">O763</f>
        <v>428044.55</v>
      </c>
      <c r="P18" s="2">
        <f t="shared" si="1"/>
        <v>4703.1400000000003</v>
      </c>
      <c r="Q18" s="2">
        <f t="shared" si="1"/>
        <v>5898.12</v>
      </c>
      <c r="R18" s="2">
        <f t="shared" si="1"/>
        <v>3727.91</v>
      </c>
      <c r="S18" s="2">
        <f t="shared" si="1"/>
        <v>417443.29</v>
      </c>
      <c r="T18" s="2">
        <f t="shared" si="1"/>
        <v>0</v>
      </c>
      <c r="U18" s="2">
        <f t="shared" si="1"/>
        <v>699.73298</v>
      </c>
      <c r="V18" s="2">
        <f t="shared" si="1"/>
        <v>0</v>
      </c>
      <c r="W18" s="2">
        <f t="shared" si="1"/>
        <v>0</v>
      </c>
      <c r="X18" s="2">
        <f t="shared" si="1"/>
        <v>292210.33</v>
      </c>
      <c r="Y18" s="2">
        <f t="shared" si="1"/>
        <v>41744.35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766025.38</v>
      </c>
      <c r="AS18" s="2">
        <f t="shared" si="1"/>
        <v>0</v>
      </c>
      <c r="AT18" s="2">
        <f t="shared" si="1"/>
        <v>0</v>
      </c>
      <c r="AU18" s="2">
        <f t="shared" ref="AU18:BZ18" si="2">AU763</f>
        <v>766025.38</v>
      </c>
      <c r="AV18" s="2">
        <f t="shared" si="2"/>
        <v>4703.1400000000003</v>
      </c>
      <c r="AW18" s="2">
        <f t="shared" si="2"/>
        <v>4703.1400000000003</v>
      </c>
      <c r="AX18" s="2">
        <f t="shared" si="2"/>
        <v>0</v>
      </c>
      <c r="AY18" s="2">
        <f t="shared" si="2"/>
        <v>4703.1400000000003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CA763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DG763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EM763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FS763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ROW(A733)</f>
        <v>733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B733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O733</f>
        <v>428044.55</v>
      </c>
      <c r="P22" s="2">
        <f t="shared" si="8"/>
        <v>4703.1400000000003</v>
      </c>
      <c r="Q22" s="2">
        <f t="shared" si="8"/>
        <v>5898.12</v>
      </c>
      <c r="R22" s="2">
        <f t="shared" si="8"/>
        <v>3727.91</v>
      </c>
      <c r="S22" s="2">
        <f t="shared" si="8"/>
        <v>417443.29</v>
      </c>
      <c r="T22" s="2">
        <f t="shared" si="8"/>
        <v>0</v>
      </c>
      <c r="U22" s="2">
        <f t="shared" si="8"/>
        <v>699.73298</v>
      </c>
      <c r="V22" s="2">
        <f t="shared" si="8"/>
        <v>0</v>
      </c>
      <c r="W22" s="2">
        <f t="shared" si="8"/>
        <v>0</v>
      </c>
      <c r="X22" s="2">
        <f t="shared" si="8"/>
        <v>292210.33</v>
      </c>
      <c r="Y22" s="2">
        <f t="shared" si="8"/>
        <v>41744.35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766025.38</v>
      </c>
      <c r="AS22" s="2">
        <f t="shared" si="8"/>
        <v>0</v>
      </c>
      <c r="AT22" s="2">
        <f t="shared" si="8"/>
        <v>0</v>
      </c>
      <c r="AU22" s="2">
        <f t="shared" ref="AU22:BZ22" si="9">AU733</f>
        <v>766025.38</v>
      </c>
      <c r="AV22" s="2">
        <f t="shared" si="9"/>
        <v>4703.1400000000003</v>
      </c>
      <c r="AW22" s="2">
        <f t="shared" si="9"/>
        <v>4703.1400000000003</v>
      </c>
      <c r="AX22" s="2">
        <f t="shared" si="9"/>
        <v>0</v>
      </c>
      <c r="AY22" s="2">
        <f t="shared" si="9"/>
        <v>4703.1400000000003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CA733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DG733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EM733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FS733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ROW(A303)</f>
        <v>303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B303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Водоснабжение и водоотведение</v>
      </c>
      <c r="H26" s="2"/>
      <c r="I26" s="2"/>
      <c r="J26" s="2"/>
      <c r="K26" s="2"/>
      <c r="L26" s="2"/>
      <c r="M26" s="2"/>
      <c r="N26" s="2"/>
      <c r="O26" s="2">
        <f t="shared" ref="O26:AT26" si="15">O303</f>
        <v>32527.46</v>
      </c>
      <c r="P26" s="2">
        <f t="shared" si="15"/>
        <v>281.25</v>
      </c>
      <c r="Q26" s="2">
        <f t="shared" si="15"/>
        <v>3773.46</v>
      </c>
      <c r="R26" s="2">
        <f t="shared" si="15"/>
        <v>2384.5300000000002</v>
      </c>
      <c r="S26" s="2">
        <f t="shared" si="15"/>
        <v>28472.75</v>
      </c>
      <c r="T26" s="2">
        <f t="shared" si="15"/>
        <v>0</v>
      </c>
      <c r="U26" s="2">
        <f t="shared" si="15"/>
        <v>53.359899999999996</v>
      </c>
      <c r="V26" s="2">
        <f t="shared" si="15"/>
        <v>0</v>
      </c>
      <c r="W26" s="2">
        <f t="shared" si="15"/>
        <v>0</v>
      </c>
      <c r="X26" s="2">
        <f t="shared" si="15"/>
        <v>19930.919999999998</v>
      </c>
      <c r="Y26" s="2">
        <f t="shared" si="15"/>
        <v>2847.27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57880.95</v>
      </c>
      <c r="AS26" s="2">
        <f t="shared" si="15"/>
        <v>0</v>
      </c>
      <c r="AT26" s="2">
        <f t="shared" si="15"/>
        <v>0</v>
      </c>
      <c r="AU26" s="2">
        <f t="shared" ref="AU26:BZ26" si="16">AU303</f>
        <v>57880.95</v>
      </c>
      <c r="AV26" s="2">
        <f t="shared" si="16"/>
        <v>281.25</v>
      </c>
      <c r="AW26" s="2">
        <f t="shared" si="16"/>
        <v>281.25</v>
      </c>
      <c r="AX26" s="2">
        <f t="shared" si="16"/>
        <v>0</v>
      </c>
      <c r="AY26" s="2">
        <f t="shared" si="16"/>
        <v>281.25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CA303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DG303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EM303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FS303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ROW(A39)</f>
        <v>39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B39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Водоснабжение В1,ТЗ</v>
      </c>
      <c r="H30" s="2"/>
      <c r="I30" s="2"/>
      <c r="J30" s="2"/>
      <c r="K30" s="2"/>
      <c r="L30" s="2"/>
      <c r="M30" s="2"/>
      <c r="N30" s="2"/>
      <c r="O30" s="2">
        <f t="shared" ref="O30:AT30" si="22">O39</f>
        <v>6470.66</v>
      </c>
      <c r="P30" s="2">
        <f t="shared" si="22"/>
        <v>1.26</v>
      </c>
      <c r="Q30" s="2">
        <f t="shared" si="22"/>
        <v>2822.32</v>
      </c>
      <c r="R30" s="2">
        <f t="shared" si="22"/>
        <v>1789.54</v>
      </c>
      <c r="S30" s="2">
        <f t="shared" si="22"/>
        <v>3647.08</v>
      </c>
      <c r="T30" s="2">
        <f t="shared" si="22"/>
        <v>0</v>
      </c>
      <c r="U30" s="2">
        <f t="shared" si="22"/>
        <v>5.3769999999999998</v>
      </c>
      <c r="V30" s="2">
        <f t="shared" si="22"/>
        <v>0</v>
      </c>
      <c r="W30" s="2">
        <f t="shared" si="22"/>
        <v>0</v>
      </c>
      <c r="X30" s="2">
        <f t="shared" si="22"/>
        <v>2552.9499999999998</v>
      </c>
      <c r="Y30" s="2">
        <f t="shared" si="22"/>
        <v>364.71</v>
      </c>
      <c r="Z30" s="2">
        <f t="shared" si="22"/>
        <v>0</v>
      </c>
      <c r="AA30" s="2">
        <f t="shared" si="22"/>
        <v>0</v>
      </c>
      <c r="AB30" s="2">
        <f t="shared" si="22"/>
        <v>6470.66</v>
      </c>
      <c r="AC30" s="2">
        <f t="shared" si="22"/>
        <v>1.26</v>
      </c>
      <c r="AD30" s="2">
        <f t="shared" si="22"/>
        <v>2822.32</v>
      </c>
      <c r="AE30" s="2">
        <f t="shared" si="22"/>
        <v>1789.54</v>
      </c>
      <c r="AF30" s="2">
        <f t="shared" si="22"/>
        <v>3647.08</v>
      </c>
      <c r="AG30" s="2">
        <f t="shared" si="22"/>
        <v>0</v>
      </c>
      <c r="AH30" s="2">
        <f t="shared" si="22"/>
        <v>5.3769999999999998</v>
      </c>
      <c r="AI30" s="2">
        <f t="shared" si="22"/>
        <v>0</v>
      </c>
      <c r="AJ30" s="2">
        <f t="shared" si="22"/>
        <v>0</v>
      </c>
      <c r="AK30" s="2">
        <f t="shared" si="22"/>
        <v>2552.9499999999998</v>
      </c>
      <c r="AL30" s="2">
        <f t="shared" si="22"/>
        <v>364.71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11321.02</v>
      </c>
      <c r="AS30" s="2">
        <f t="shared" si="22"/>
        <v>0</v>
      </c>
      <c r="AT30" s="2">
        <f t="shared" si="22"/>
        <v>0</v>
      </c>
      <c r="AU30" s="2">
        <f t="shared" ref="AU30:BZ30" si="23">AU39</f>
        <v>11321.02</v>
      </c>
      <c r="AV30" s="2">
        <f t="shared" si="23"/>
        <v>1.26</v>
      </c>
      <c r="AW30" s="2">
        <f t="shared" si="23"/>
        <v>1.26</v>
      </c>
      <c r="AX30" s="2">
        <f t="shared" si="23"/>
        <v>0</v>
      </c>
      <c r="AY30" s="2">
        <f t="shared" si="23"/>
        <v>1.26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CA39</f>
        <v>11321.02</v>
      </c>
      <c r="CB30" s="2">
        <f t="shared" si="24"/>
        <v>0</v>
      </c>
      <c r="CC30" s="2">
        <f t="shared" si="24"/>
        <v>0</v>
      </c>
      <c r="CD30" s="2">
        <f t="shared" si="24"/>
        <v>11321.02</v>
      </c>
      <c r="CE30" s="2">
        <f t="shared" si="24"/>
        <v>1.26</v>
      </c>
      <c r="CF30" s="2">
        <f t="shared" si="24"/>
        <v>1.26</v>
      </c>
      <c r="CG30" s="2">
        <f t="shared" si="24"/>
        <v>0</v>
      </c>
      <c r="CH30" s="2">
        <f t="shared" si="24"/>
        <v>1.26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DG39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EM39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FS39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16</v>
      </c>
      <c r="G32" t="s">
        <v>17</v>
      </c>
      <c r="H32" t="s">
        <v>18</v>
      </c>
      <c r="I32">
        <v>1</v>
      </c>
      <c r="J32">
        <v>0</v>
      </c>
      <c r="K32">
        <v>1</v>
      </c>
      <c r="O32">
        <f t="shared" ref="O32:O37" si="28">ROUND(CP32,2)</f>
        <v>6076.08</v>
      </c>
      <c r="P32">
        <f t="shared" ref="P32:P37" si="29">ROUND(CQ32*I32,2)</f>
        <v>0</v>
      </c>
      <c r="Q32">
        <f t="shared" ref="Q32:Q37" si="30">ROUND(CR32*I32,2)</f>
        <v>0</v>
      </c>
      <c r="R32">
        <f t="shared" ref="R32:R37" si="31">ROUND(CS32*I32,2)</f>
        <v>0</v>
      </c>
      <c r="S32">
        <f t="shared" ref="S32:S37" si="32">ROUND(CT32*I32,2)</f>
        <v>6076.08</v>
      </c>
      <c r="T32">
        <f t="shared" ref="T32:T37" si="33">ROUND(CU32*I32,2)</f>
        <v>0</v>
      </c>
      <c r="U32">
        <f t="shared" ref="U32:U37" si="34">CV32*I32</f>
        <v>9.84</v>
      </c>
      <c r="V32">
        <f t="shared" ref="V32:V37" si="35">CW32*I32</f>
        <v>0</v>
      </c>
      <c r="W32">
        <f t="shared" ref="W32:W37" si="36">ROUND(CX32*I32,2)</f>
        <v>0</v>
      </c>
      <c r="X32">
        <f t="shared" ref="X32:Y37" si="37">ROUND(CY32,2)</f>
        <v>4253.26</v>
      </c>
      <c r="Y32">
        <f t="shared" si="37"/>
        <v>607.61</v>
      </c>
      <c r="AA32">
        <v>-1</v>
      </c>
      <c r="AB32">
        <f t="shared" ref="AB32:AB37" si="38">ROUND((AC32+AD32+AF32),6)</f>
        <v>6076.08</v>
      </c>
      <c r="AC32">
        <f>ROUND(((ES32*12)),6)</f>
        <v>0</v>
      </c>
      <c r="AD32">
        <f>ROUND(((((ET32*12))-((EU32*12)))+AE32),6)</f>
        <v>0</v>
      </c>
      <c r="AE32">
        <f>ROUND(((EU32*12)),6)</f>
        <v>0</v>
      </c>
      <c r="AF32">
        <f>ROUND(((EV32*12)),6)</f>
        <v>6076.08</v>
      </c>
      <c r="AG32">
        <f t="shared" ref="AG32:AG37" si="39">ROUND((AP32),6)</f>
        <v>0</v>
      </c>
      <c r="AH32">
        <f>((EW32*12))</f>
        <v>9.84</v>
      </c>
      <c r="AI32">
        <f>((EX32*12))</f>
        <v>0</v>
      </c>
      <c r="AJ32">
        <f t="shared" ref="AJ32:AJ37" si="40">(AS32)</f>
        <v>0</v>
      </c>
      <c r="AK32">
        <v>506.34</v>
      </c>
      <c r="AL32">
        <v>0</v>
      </c>
      <c r="AM32">
        <v>0</v>
      </c>
      <c r="AN32">
        <v>0</v>
      </c>
      <c r="AO32">
        <v>506.34</v>
      </c>
      <c r="AP32">
        <v>0</v>
      </c>
      <c r="AQ32">
        <v>0.82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19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37" si="41">(P32+Q32+S32)</f>
        <v>6076.08</v>
      </c>
      <c r="CQ32">
        <f t="shared" ref="CQ32:CQ37" si="42">(AC32*BC32*AW32)</f>
        <v>0</v>
      </c>
      <c r="CR32">
        <f>(((((ET32*12))*BB32-((EU32*12))*BS32)+AE32*BS32)*AV32)</f>
        <v>0</v>
      </c>
      <c r="CS32">
        <f t="shared" ref="CS32:CS37" si="43">(AE32*BS32*AV32)</f>
        <v>0</v>
      </c>
      <c r="CT32">
        <f t="shared" ref="CT32:CT37" si="44">(AF32*BA32*AV32)</f>
        <v>6076.08</v>
      </c>
      <c r="CU32">
        <f t="shared" ref="CU32:CU37" si="45">AG32</f>
        <v>0</v>
      </c>
      <c r="CV32">
        <f t="shared" ref="CV32:CV37" si="46">(AH32*AV32)</f>
        <v>9.84</v>
      </c>
      <c r="CW32">
        <f t="shared" ref="CW32:CX37" si="47">AI32</f>
        <v>0</v>
      </c>
      <c r="CX32">
        <f t="shared" si="47"/>
        <v>0</v>
      </c>
      <c r="CY32">
        <f t="shared" ref="CY32:CY37" si="48">((S32*BZ32)/100)</f>
        <v>4253.2559999999994</v>
      </c>
      <c r="CZ32">
        <f t="shared" ref="CZ32:CZ37" si="49">((S32*CA32)/100)</f>
        <v>607.60800000000006</v>
      </c>
      <c r="DC32" t="s">
        <v>3</v>
      </c>
      <c r="DD32" t="s">
        <v>20</v>
      </c>
      <c r="DE32" t="s">
        <v>20</v>
      </c>
      <c r="DF32" t="s">
        <v>20</v>
      </c>
      <c r="DG32" t="s">
        <v>20</v>
      </c>
      <c r="DH32" t="s">
        <v>3</v>
      </c>
      <c r="DI32" t="s">
        <v>20</v>
      </c>
      <c r="DJ32" t="s">
        <v>20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18</v>
      </c>
      <c r="DW32" t="s">
        <v>18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1024</v>
      </c>
      <c r="ER32">
        <v>506.34</v>
      </c>
      <c r="ES32">
        <v>0</v>
      </c>
      <c r="ET32">
        <v>0</v>
      </c>
      <c r="EU32">
        <v>0</v>
      </c>
      <c r="EV32">
        <v>506.34</v>
      </c>
      <c r="EW32">
        <v>0.82</v>
      </c>
      <c r="EX32">
        <v>0</v>
      </c>
      <c r="EY32">
        <v>0</v>
      </c>
      <c r="FQ32">
        <v>0</v>
      </c>
      <c r="FR32">
        <f t="shared" ref="FR32:FR37" si="50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1354931498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37" si="51">ROUND(IF(AND(BH32=3,BI32=3,FS32&lt;&gt;0),P32,0),2)</f>
        <v>0</v>
      </c>
      <c r="GM32">
        <f t="shared" ref="GM32:GM37" si="52">ROUND(O32+X32+Y32+GK32,2)+GX32</f>
        <v>10936.95</v>
      </c>
      <c r="GN32">
        <f t="shared" ref="GN32:GN37" si="53">IF(OR(BI32=0,BI32=1),GM32-GX32,0)</f>
        <v>0</v>
      </c>
      <c r="GO32">
        <f t="shared" ref="GO32:GO37" si="54">IF(BI32=2,GM32-GX32,0)</f>
        <v>0</v>
      </c>
      <c r="GP32">
        <f t="shared" ref="GP32:GP37" si="55">IF(BI32=4,GM32-GX32,0)</f>
        <v>10936.95</v>
      </c>
      <c r="GR32">
        <v>0</v>
      </c>
      <c r="GS32">
        <v>3</v>
      </c>
      <c r="GT32">
        <v>0</v>
      </c>
      <c r="GU32" t="s">
        <v>3</v>
      </c>
      <c r="GV32">
        <f t="shared" ref="GV32:GV37" si="56">ROUND((GT32),6)</f>
        <v>0</v>
      </c>
      <c r="GW32">
        <v>1</v>
      </c>
      <c r="GX32">
        <f t="shared" ref="GX32:GX37" si="57">ROUND(HC32*I32,2)</f>
        <v>0</v>
      </c>
      <c r="HA32">
        <v>0</v>
      </c>
      <c r="HB32">
        <v>0</v>
      </c>
      <c r="HC32">
        <f t="shared" ref="HC32:HC37" si="58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ROW(EtalonRes!A2)</f>
        <v>2</v>
      </c>
      <c r="E33" t="s">
        <v>3</v>
      </c>
      <c r="F33" t="s">
        <v>24</v>
      </c>
      <c r="G33" t="s">
        <v>25</v>
      </c>
      <c r="H33" t="s">
        <v>26</v>
      </c>
      <c r="I33">
        <f>ROUND((47+17+11+4)*0.1/100,9)</f>
        <v>7.9000000000000001E-2</v>
      </c>
      <c r="J33">
        <v>0</v>
      </c>
      <c r="K33">
        <f>ROUND((47+17+11+4)*0.1/100,9)</f>
        <v>7.9000000000000001E-2</v>
      </c>
      <c r="O33">
        <f t="shared" si="28"/>
        <v>159.88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159.88</v>
      </c>
      <c r="T33">
        <f t="shared" si="33"/>
        <v>0</v>
      </c>
      <c r="U33">
        <f t="shared" si="34"/>
        <v>0.28439999999999999</v>
      </c>
      <c r="V33">
        <f t="shared" si="35"/>
        <v>0</v>
      </c>
      <c r="W33">
        <f t="shared" si="36"/>
        <v>0</v>
      </c>
      <c r="X33">
        <f t="shared" si="37"/>
        <v>111.92</v>
      </c>
      <c r="Y33">
        <f t="shared" si="37"/>
        <v>15.99</v>
      </c>
      <c r="AA33">
        <v>-1</v>
      </c>
      <c r="AB33">
        <f t="shared" si="38"/>
        <v>2023.8</v>
      </c>
      <c r="AC33">
        <f>ROUND(((ES33*4)),6)</f>
        <v>0</v>
      </c>
      <c r="AD33">
        <f>ROUND(((((ET33*4))-((EU33*4)))+AE33),6)</f>
        <v>0</v>
      </c>
      <c r="AE33">
        <f>ROUND(((EU33*4)),6)</f>
        <v>0</v>
      </c>
      <c r="AF33">
        <f>ROUND(((EV33*4)),6)</f>
        <v>2023.8</v>
      </c>
      <c r="AG33">
        <f t="shared" si="39"/>
        <v>0</v>
      </c>
      <c r="AH33">
        <f>((EW33*4))</f>
        <v>3.6</v>
      </c>
      <c r="AI33">
        <f>((EX33*4))</f>
        <v>0</v>
      </c>
      <c r="AJ33">
        <f t="shared" si="40"/>
        <v>0</v>
      </c>
      <c r="AK33">
        <v>505.95</v>
      </c>
      <c r="AL33">
        <v>0</v>
      </c>
      <c r="AM33">
        <v>0</v>
      </c>
      <c r="AN33">
        <v>0</v>
      </c>
      <c r="AO33">
        <v>505.95</v>
      </c>
      <c r="AP33">
        <v>0</v>
      </c>
      <c r="AQ33">
        <v>0.9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27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159.88</v>
      </c>
      <c r="CQ33">
        <f t="shared" si="42"/>
        <v>0</v>
      </c>
      <c r="CR33">
        <f>(((((ET33*4))*BB33-((EU33*4))*BS33)+AE33*BS33)*AV33)</f>
        <v>0</v>
      </c>
      <c r="CS33">
        <f t="shared" si="43"/>
        <v>0</v>
      </c>
      <c r="CT33">
        <f t="shared" si="44"/>
        <v>2023.8</v>
      </c>
      <c r="CU33">
        <f t="shared" si="45"/>
        <v>0</v>
      </c>
      <c r="CV33">
        <f t="shared" si="46"/>
        <v>3.6</v>
      </c>
      <c r="CW33">
        <f t="shared" si="47"/>
        <v>0</v>
      </c>
      <c r="CX33">
        <f t="shared" si="47"/>
        <v>0</v>
      </c>
      <c r="CY33">
        <f t="shared" si="48"/>
        <v>111.916</v>
      </c>
      <c r="CZ33">
        <f t="shared" si="49"/>
        <v>15.988</v>
      </c>
      <c r="DC33" t="s">
        <v>3</v>
      </c>
      <c r="DD33" t="s">
        <v>28</v>
      </c>
      <c r="DE33" t="s">
        <v>28</v>
      </c>
      <c r="DF33" t="s">
        <v>28</v>
      </c>
      <c r="DG33" t="s">
        <v>28</v>
      </c>
      <c r="DH33" t="s">
        <v>3</v>
      </c>
      <c r="DI33" t="s">
        <v>28</v>
      </c>
      <c r="DJ33" t="s">
        <v>28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26</v>
      </c>
      <c r="DW33" t="s">
        <v>26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1024</v>
      </c>
      <c r="ER33">
        <v>505.95</v>
      </c>
      <c r="ES33">
        <v>0</v>
      </c>
      <c r="ET33">
        <v>0</v>
      </c>
      <c r="EU33">
        <v>0</v>
      </c>
      <c r="EV33">
        <v>505.95</v>
      </c>
      <c r="EW33">
        <v>0.9</v>
      </c>
      <c r="EX33">
        <v>0</v>
      </c>
      <c r="EY33">
        <v>0</v>
      </c>
      <c r="FQ33">
        <v>0</v>
      </c>
      <c r="FR33">
        <f t="shared" si="50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-341239612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1"/>
        <v>0</v>
      </c>
      <c r="GM33">
        <f t="shared" si="52"/>
        <v>287.79000000000002</v>
      </c>
      <c r="GN33">
        <f t="shared" si="53"/>
        <v>0</v>
      </c>
      <c r="GO33">
        <f t="shared" si="54"/>
        <v>0</v>
      </c>
      <c r="GP33">
        <f t="shared" si="55"/>
        <v>287.79000000000002</v>
      </c>
      <c r="GR33">
        <v>0</v>
      </c>
      <c r="GS33">
        <v>3</v>
      </c>
      <c r="GT33">
        <v>0</v>
      </c>
      <c r="GU33" t="s">
        <v>3</v>
      </c>
      <c r="GV33">
        <f t="shared" si="56"/>
        <v>0</v>
      </c>
      <c r="GW33">
        <v>1</v>
      </c>
      <c r="GX33">
        <f t="shared" si="57"/>
        <v>0</v>
      </c>
      <c r="HA33">
        <v>0</v>
      </c>
      <c r="HB33">
        <v>0</v>
      </c>
      <c r="HC33">
        <f t="shared" si="58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ROW(SmtRes!A1)</f>
        <v>1</v>
      </c>
      <c r="D34">
        <f>ROW(EtalonRes!A3)</f>
        <v>3</v>
      </c>
      <c r="E34" t="s">
        <v>29</v>
      </c>
      <c r="F34" t="s">
        <v>30</v>
      </c>
      <c r="G34" t="s">
        <v>31</v>
      </c>
      <c r="H34" t="s">
        <v>32</v>
      </c>
      <c r="I34">
        <f>ROUND((2)/10,9)</f>
        <v>0.2</v>
      </c>
      <c r="J34">
        <v>0</v>
      </c>
      <c r="K34">
        <f>ROUND((2)/10,9)</f>
        <v>0.2</v>
      </c>
      <c r="O34">
        <f t="shared" si="28"/>
        <v>75.33</v>
      </c>
      <c r="P34">
        <f t="shared" si="29"/>
        <v>0</v>
      </c>
      <c r="Q34">
        <f t="shared" si="30"/>
        <v>0</v>
      </c>
      <c r="R34">
        <f t="shared" si="31"/>
        <v>0</v>
      </c>
      <c r="S34">
        <f t="shared" si="32"/>
        <v>75.33</v>
      </c>
      <c r="T34">
        <f t="shared" si="33"/>
        <v>0</v>
      </c>
      <c r="U34">
        <f t="shared" si="34"/>
        <v>0.122</v>
      </c>
      <c r="V34">
        <f t="shared" si="35"/>
        <v>0</v>
      </c>
      <c r="W34">
        <f t="shared" si="36"/>
        <v>0</v>
      </c>
      <c r="X34">
        <f t="shared" si="37"/>
        <v>52.73</v>
      </c>
      <c r="Y34">
        <f t="shared" si="37"/>
        <v>7.53</v>
      </c>
      <c r="AA34">
        <v>1473080740</v>
      </c>
      <c r="AB34">
        <f t="shared" si="38"/>
        <v>376.67</v>
      </c>
      <c r="AC34">
        <f>ROUND((ES34),6)</f>
        <v>0</v>
      </c>
      <c r="AD34">
        <f>ROUND((((ET34)-(EU34))+AE34),6)</f>
        <v>0</v>
      </c>
      <c r="AE34">
        <f t="shared" ref="AE34:AF36" si="59">ROUND((EU34),6)</f>
        <v>0</v>
      </c>
      <c r="AF34">
        <f t="shared" si="59"/>
        <v>376.67</v>
      </c>
      <c r="AG34">
        <f t="shared" si="39"/>
        <v>0</v>
      </c>
      <c r="AH34">
        <f t="shared" ref="AH34:AI36" si="60">(EW34)</f>
        <v>0.61</v>
      </c>
      <c r="AI34">
        <f t="shared" si="60"/>
        <v>0</v>
      </c>
      <c r="AJ34">
        <f t="shared" si="40"/>
        <v>0</v>
      </c>
      <c r="AK34">
        <v>376.67</v>
      </c>
      <c r="AL34">
        <v>0</v>
      </c>
      <c r="AM34">
        <v>0</v>
      </c>
      <c r="AN34">
        <v>0</v>
      </c>
      <c r="AO34">
        <v>376.67</v>
      </c>
      <c r="AP34">
        <v>0</v>
      </c>
      <c r="AQ34">
        <v>0.61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75.33</v>
      </c>
      <c r="CQ34">
        <f t="shared" si="42"/>
        <v>0</v>
      </c>
      <c r="CR34">
        <f>((((ET34)*BB34-(EU34)*BS34)+AE34*BS34)*AV34)</f>
        <v>0</v>
      </c>
      <c r="CS34">
        <f t="shared" si="43"/>
        <v>0</v>
      </c>
      <c r="CT34">
        <f t="shared" si="44"/>
        <v>376.67</v>
      </c>
      <c r="CU34">
        <f t="shared" si="45"/>
        <v>0</v>
      </c>
      <c r="CV34">
        <f t="shared" si="46"/>
        <v>0.61</v>
      </c>
      <c r="CW34">
        <f t="shared" si="47"/>
        <v>0</v>
      </c>
      <c r="CX34">
        <f t="shared" si="47"/>
        <v>0</v>
      </c>
      <c r="CY34">
        <f t="shared" si="48"/>
        <v>52.730999999999995</v>
      </c>
      <c r="CZ34">
        <f t="shared" si="49"/>
        <v>7.5329999999999995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32</v>
      </c>
      <c r="DW34" t="s">
        <v>32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0</v>
      </c>
      <c r="ER34">
        <v>376.67</v>
      </c>
      <c r="ES34">
        <v>0</v>
      </c>
      <c r="ET34">
        <v>0</v>
      </c>
      <c r="EU34">
        <v>0</v>
      </c>
      <c r="EV34">
        <v>376.67</v>
      </c>
      <c r="EW34">
        <v>0.61</v>
      </c>
      <c r="EX34">
        <v>0</v>
      </c>
      <c r="EY34">
        <v>0</v>
      </c>
      <c r="FQ34">
        <v>0</v>
      </c>
      <c r="FR34">
        <f t="shared" si="50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1655026134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1"/>
        <v>0</v>
      </c>
      <c r="GM34">
        <f t="shared" si="52"/>
        <v>135.59</v>
      </c>
      <c r="GN34">
        <f t="shared" si="53"/>
        <v>0</v>
      </c>
      <c r="GO34">
        <f t="shared" si="54"/>
        <v>0</v>
      </c>
      <c r="GP34">
        <f t="shared" si="55"/>
        <v>135.59</v>
      </c>
      <c r="GR34">
        <v>0</v>
      </c>
      <c r="GS34">
        <v>3</v>
      </c>
      <c r="GT34">
        <v>0</v>
      </c>
      <c r="GU34" t="s">
        <v>3</v>
      </c>
      <c r="GV34">
        <f t="shared" si="56"/>
        <v>0</v>
      </c>
      <c r="GW34">
        <v>1</v>
      </c>
      <c r="GX34">
        <f t="shared" si="57"/>
        <v>0</v>
      </c>
      <c r="HA34">
        <v>0</v>
      </c>
      <c r="HB34">
        <v>0</v>
      </c>
      <c r="HC34">
        <f t="shared" si="58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ROW(SmtRes!A2)</f>
        <v>2</v>
      </c>
      <c r="D35">
        <f>ROW(EtalonRes!A4)</f>
        <v>4</v>
      </c>
      <c r="E35" t="s">
        <v>34</v>
      </c>
      <c r="F35" t="s">
        <v>35</v>
      </c>
      <c r="G35" t="s">
        <v>36</v>
      </c>
      <c r="H35" t="s">
        <v>32</v>
      </c>
      <c r="I35">
        <f>ROUND((35+4)/10,9)</f>
        <v>3.9</v>
      </c>
      <c r="J35">
        <v>0</v>
      </c>
      <c r="K35">
        <f>ROUND((35+4)/10,9)</f>
        <v>3.9</v>
      </c>
      <c r="O35">
        <f t="shared" si="28"/>
        <v>1083.69</v>
      </c>
      <c r="P35">
        <f t="shared" si="29"/>
        <v>0</v>
      </c>
      <c r="Q35">
        <f t="shared" si="30"/>
        <v>0</v>
      </c>
      <c r="R35">
        <f t="shared" si="31"/>
        <v>0</v>
      </c>
      <c r="S35">
        <f t="shared" si="32"/>
        <v>1083.69</v>
      </c>
      <c r="T35">
        <f t="shared" si="33"/>
        <v>0</v>
      </c>
      <c r="U35">
        <f t="shared" si="34"/>
        <v>1.7549999999999999</v>
      </c>
      <c r="V35">
        <f t="shared" si="35"/>
        <v>0</v>
      </c>
      <c r="W35">
        <f t="shared" si="36"/>
        <v>0</v>
      </c>
      <c r="X35">
        <f t="shared" si="37"/>
        <v>758.58</v>
      </c>
      <c r="Y35">
        <f t="shared" si="37"/>
        <v>108.37</v>
      </c>
      <c r="AA35">
        <v>1473080740</v>
      </c>
      <c r="AB35">
        <f t="shared" si="38"/>
        <v>277.87</v>
      </c>
      <c r="AC35">
        <f>ROUND((ES35),6)</f>
        <v>0</v>
      </c>
      <c r="AD35">
        <f>ROUND((((ET35)-(EU35))+AE35),6)</f>
        <v>0</v>
      </c>
      <c r="AE35">
        <f t="shared" si="59"/>
        <v>0</v>
      </c>
      <c r="AF35">
        <f t="shared" si="59"/>
        <v>277.87</v>
      </c>
      <c r="AG35">
        <f t="shared" si="39"/>
        <v>0</v>
      </c>
      <c r="AH35">
        <f t="shared" si="60"/>
        <v>0.45</v>
      </c>
      <c r="AI35">
        <f t="shared" si="60"/>
        <v>0</v>
      </c>
      <c r="AJ35">
        <f t="shared" si="40"/>
        <v>0</v>
      </c>
      <c r="AK35">
        <v>277.87</v>
      </c>
      <c r="AL35">
        <v>0</v>
      </c>
      <c r="AM35">
        <v>0</v>
      </c>
      <c r="AN35">
        <v>0</v>
      </c>
      <c r="AO35">
        <v>277.87</v>
      </c>
      <c r="AP35">
        <v>0</v>
      </c>
      <c r="AQ35">
        <v>0.45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37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1083.69</v>
      </c>
      <c r="CQ35">
        <f t="shared" si="42"/>
        <v>0</v>
      </c>
      <c r="CR35">
        <f>((((ET35)*BB35-(EU35)*BS35)+AE35*BS35)*AV35)</f>
        <v>0</v>
      </c>
      <c r="CS35">
        <f t="shared" si="43"/>
        <v>0</v>
      </c>
      <c r="CT35">
        <f t="shared" si="44"/>
        <v>277.87</v>
      </c>
      <c r="CU35">
        <f t="shared" si="45"/>
        <v>0</v>
      </c>
      <c r="CV35">
        <f t="shared" si="46"/>
        <v>0.45</v>
      </c>
      <c r="CW35">
        <f t="shared" si="47"/>
        <v>0</v>
      </c>
      <c r="CX35">
        <f t="shared" si="47"/>
        <v>0</v>
      </c>
      <c r="CY35">
        <f t="shared" si="48"/>
        <v>758.58300000000008</v>
      </c>
      <c r="CZ35">
        <f t="shared" si="49"/>
        <v>108.36900000000001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32</v>
      </c>
      <c r="DW35" t="s">
        <v>32</v>
      </c>
      <c r="DX35">
        <v>10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277.87</v>
      </c>
      <c r="ES35">
        <v>0</v>
      </c>
      <c r="ET35">
        <v>0</v>
      </c>
      <c r="EU35">
        <v>0</v>
      </c>
      <c r="EV35">
        <v>277.87</v>
      </c>
      <c r="EW35">
        <v>0.45</v>
      </c>
      <c r="EX35">
        <v>0</v>
      </c>
      <c r="EY35">
        <v>0</v>
      </c>
      <c r="FQ35">
        <v>0</v>
      </c>
      <c r="FR35">
        <f t="shared" si="50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143482430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1"/>
        <v>0</v>
      </c>
      <c r="GM35">
        <f t="shared" si="52"/>
        <v>1950.64</v>
      </c>
      <c r="GN35">
        <f t="shared" si="53"/>
        <v>0</v>
      </c>
      <c r="GO35">
        <f t="shared" si="54"/>
        <v>0</v>
      </c>
      <c r="GP35">
        <f t="shared" si="55"/>
        <v>1950.64</v>
      </c>
      <c r="GR35">
        <v>0</v>
      </c>
      <c r="GS35">
        <v>3</v>
      </c>
      <c r="GT35">
        <v>0</v>
      </c>
      <c r="GU35" t="s">
        <v>3</v>
      </c>
      <c r="GV35">
        <f t="shared" si="56"/>
        <v>0</v>
      </c>
      <c r="GW35">
        <v>1</v>
      </c>
      <c r="GX35">
        <f t="shared" si="57"/>
        <v>0</v>
      </c>
      <c r="HA35">
        <v>0</v>
      </c>
      <c r="HB35">
        <v>0</v>
      </c>
      <c r="HC35">
        <f t="shared" si="58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ROW(SmtRes!A5)</f>
        <v>5</v>
      </c>
      <c r="D36">
        <f>ROW(EtalonRes!A7)</f>
        <v>7</v>
      </c>
      <c r="E36" t="s">
        <v>38</v>
      </c>
      <c r="F36" t="s">
        <v>39</v>
      </c>
      <c r="G36" t="s">
        <v>40</v>
      </c>
      <c r="H36" t="s">
        <v>18</v>
      </c>
      <c r="I36">
        <v>2</v>
      </c>
      <c r="J36">
        <v>0</v>
      </c>
      <c r="K36">
        <v>2</v>
      </c>
      <c r="O36">
        <f t="shared" si="28"/>
        <v>5311.64</v>
      </c>
      <c r="P36">
        <f t="shared" si="29"/>
        <v>1.26</v>
      </c>
      <c r="Q36">
        <f t="shared" si="30"/>
        <v>2822.32</v>
      </c>
      <c r="R36">
        <f t="shared" si="31"/>
        <v>1789.54</v>
      </c>
      <c r="S36">
        <f t="shared" si="32"/>
        <v>2488.06</v>
      </c>
      <c r="T36">
        <f t="shared" si="33"/>
        <v>0</v>
      </c>
      <c r="U36">
        <f t="shared" si="34"/>
        <v>3.5</v>
      </c>
      <c r="V36">
        <f t="shared" si="35"/>
        <v>0</v>
      </c>
      <c r="W36">
        <f t="shared" si="36"/>
        <v>0</v>
      </c>
      <c r="X36">
        <f t="shared" si="37"/>
        <v>1741.64</v>
      </c>
      <c r="Y36">
        <f t="shared" si="37"/>
        <v>248.81</v>
      </c>
      <c r="AA36">
        <v>1473080740</v>
      </c>
      <c r="AB36">
        <f t="shared" si="38"/>
        <v>2655.82</v>
      </c>
      <c r="AC36">
        <f>ROUND((ES36),6)</f>
        <v>0.63</v>
      </c>
      <c r="AD36">
        <f>ROUND((((ET36)-(EU36))+AE36),6)</f>
        <v>1411.16</v>
      </c>
      <c r="AE36">
        <f t="shared" si="59"/>
        <v>894.77</v>
      </c>
      <c r="AF36">
        <f t="shared" si="59"/>
        <v>1244.03</v>
      </c>
      <c r="AG36">
        <f t="shared" si="39"/>
        <v>0</v>
      </c>
      <c r="AH36">
        <f t="shared" si="60"/>
        <v>1.75</v>
      </c>
      <c r="AI36">
        <f t="shared" si="60"/>
        <v>0</v>
      </c>
      <c r="AJ36">
        <f t="shared" si="40"/>
        <v>0</v>
      </c>
      <c r="AK36">
        <v>2655.82</v>
      </c>
      <c r="AL36">
        <v>0.63</v>
      </c>
      <c r="AM36">
        <v>1411.16</v>
      </c>
      <c r="AN36">
        <v>894.77</v>
      </c>
      <c r="AO36">
        <v>1244.03</v>
      </c>
      <c r="AP36">
        <v>0</v>
      </c>
      <c r="AQ36">
        <v>1.75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5311.64</v>
      </c>
      <c r="CQ36">
        <f t="shared" si="42"/>
        <v>0.63</v>
      </c>
      <c r="CR36">
        <f>((((ET36)*BB36-(EU36)*BS36)+AE36*BS36)*AV36)</f>
        <v>1411.16</v>
      </c>
      <c r="CS36">
        <f t="shared" si="43"/>
        <v>894.77</v>
      </c>
      <c r="CT36">
        <f t="shared" si="44"/>
        <v>1244.03</v>
      </c>
      <c r="CU36">
        <f t="shared" si="45"/>
        <v>0</v>
      </c>
      <c r="CV36">
        <f t="shared" si="46"/>
        <v>1.75</v>
      </c>
      <c r="CW36">
        <f t="shared" si="47"/>
        <v>0</v>
      </c>
      <c r="CX36">
        <f t="shared" si="47"/>
        <v>0</v>
      </c>
      <c r="CY36">
        <f t="shared" si="48"/>
        <v>1741.6419999999998</v>
      </c>
      <c r="CZ36">
        <f t="shared" si="49"/>
        <v>248.80599999999998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18</v>
      </c>
      <c r="DW36" t="s">
        <v>18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0</v>
      </c>
      <c r="ER36">
        <v>2655.82</v>
      </c>
      <c r="ES36">
        <v>0.63</v>
      </c>
      <c r="ET36">
        <v>1411.16</v>
      </c>
      <c r="EU36">
        <v>894.77</v>
      </c>
      <c r="EV36">
        <v>1244.03</v>
      </c>
      <c r="EW36">
        <v>1.75</v>
      </c>
      <c r="EX36">
        <v>0</v>
      </c>
      <c r="EY36">
        <v>0</v>
      </c>
      <c r="FQ36">
        <v>0</v>
      </c>
      <c r="FR36">
        <f t="shared" si="50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1992545103</v>
      </c>
      <c r="GG36">
        <v>2</v>
      </c>
      <c r="GH36">
        <v>1</v>
      </c>
      <c r="GI36">
        <v>-2</v>
      </c>
      <c r="GJ36">
        <v>0</v>
      </c>
      <c r="GK36">
        <f>ROUND(R36*(R12)/100,2)</f>
        <v>1932.7</v>
      </c>
      <c r="GL36">
        <f t="shared" si="51"/>
        <v>0</v>
      </c>
      <c r="GM36">
        <f t="shared" si="52"/>
        <v>9234.7900000000009</v>
      </c>
      <c r="GN36">
        <f t="shared" si="53"/>
        <v>0</v>
      </c>
      <c r="GO36">
        <f t="shared" si="54"/>
        <v>0</v>
      </c>
      <c r="GP36">
        <f t="shared" si="55"/>
        <v>9234.7900000000009</v>
      </c>
      <c r="GR36">
        <v>0</v>
      </c>
      <c r="GS36">
        <v>3</v>
      </c>
      <c r="GT36">
        <v>0</v>
      </c>
      <c r="GU36" t="s">
        <v>3</v>
      </c>
      <c r="GV36">
        <f t="shared" si="56"/>
        <v>0</v>
      </c>
      <c r="GW36">
        <v>1</v>
      </c>
      <c r="GX36">
        <f t="shared" si="57"/>
        <v>0</v>
      </c>
      <c r="HA36">
        <v>0</v>
      </c>
      <c r="HB36">
        <v>0</v>
      </c>
      <c r="HC36">
        <f t="shared" si="58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ROW(EtalonRes!A8)</f>
        <v>8</v>
      </c>
      <c r="E37" t="s">
        <v>3</v>
      </c>
      <c r="F37" t="s">
        <v>24</v>
      </c>
      <c r="G37" t="s">
        <v>42</v>
      </c>
      <c r="H37" t="s">
        <v>26</v>
      </c>
      <c r="I37">
        <f>ROUND((27.2)*0.1/100,9)</f>
        <v>2.7199999999999998E-2</v>
      </c>
      <c r="J37">
        <v>0</v>
      </c>
      <c r="K37">
        <f>ROUND((27.2)*0.1/100,9)</f>
        <v>2.7199999999999998E-2</v>
      </c>
      <c r="O37">
        <f t="shared" si="28"/>
        <v>55.05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55.05</v>
      </c>
      <c r="T37">
        <f t="shared" si="33"/>
        <v>0</v>
      </c>
      <c r="U37">
        <f t="shared" si="34"/>
        <v>9.7919999999999993E-2</v>
      </c>
      <c r="V37">
        <f t="shared" si="35"/>
        <v>0</v>
      </c>
      <c r="W37">
        <f t="shared" si="36"/>
        <v>0</v>
      </c>
      <c r="X37">
        <f t="shared" si="37"/>
        <v>38.54</v>
      </c>
      <c r="Y37">
        <f t="shared" si="37"/>
        <v>5.51</v>
      </c>
      <c r="AA37">
        <v>-1</v>
      </c>
      <c r="AB37">
        <f t="shared" si="38"/>
        <v>2023.8</v>
      </c>
      <c r="AC37">
        <f>ROUND(((ES37*4)),6)</f>
        <v>0</v>
      </c>
      <c r="AD37">
        <f>ROUND(((((ET37*4))-((EU37*4)))+AE37),6)</f>
        <v>0</v>
      </c>
      <c r="AE37">
        <f>ROUND(((EU37*4)),6)</f>
        <v>0</v>
      </c>
      <c r="AF37">
        <f>ROUND(((EV37*4)),6)</f>
        <v>2023.8</v>
      </c>
      <c r="AG37">
        <f t="shared" si="39"/>
        <v>0</v>
      </c>
      <c r="AH37">
        <f>((EW37*4))</f>
        <v>3.6</v>
      </c>
      <c r="AI37">
        <f>((EX37*4))</f>
        <v>0</v>
      </c>
      <c r="AJ37">
        <f t="shared" si="40"/>
        <v>0</v>
      </c>
      <c r="AK37">
        <v>505.95</v>
      </c>
      <c r="AL37">
        <v>0</v>
      </c>
      <c r="AM37">
        <v>0</v>
      </c>
      <c r="AN37">
        <v>0</v>
      </c>
      <c r="AO37">
        <v>505.95</v>
      </c>
      <c r="AP37">
        <v>0</v>
      </c>
      <c r="AQ37">
        <v>0.9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27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55.05</v>
      </c>
      <c r="CQ37">
        <f t="shared" si="42"/>
        <v>0</v>
      </c>
      <c r="CR37">
        <f>(((((ET37*4))*BB37-((EU37*4))*BS37)+AE37*BS37)*AV37)</f>
        <v>0</v>
      </c>
      <c r="CS37">
        <f t="shared" si="43"/>
        <v>0</v>
      </c>
      <c r="CT37">
        <f t="shared" si="44"/>
        <v>2023.8</v>
      </c>
      <c r="CU37">
        <f t="shared" si="45"/>
        <v>0</v>
      </c>
      <c r="CV37">
        <f t="shared" si="46"/>
        <v>3.6</v>
      </c>
      <c r="CW37">
        <f t="shared" si="47"/>
        <v>0</v>
      </c>
      <c r="CX37">
        <f t="shared" si="47"/>
        <v>0</v>
      </c>
      <c r="CY37">
        <f t="shared" si="48"/>
        <v>38.534999999999997</v>
      </c>
      <c r="CZ37">
        <f t="shared" si="49"/>
        <v>5.5049999999999999</v>
      </c>
      <c r="DC37" t="s">
        <v>3</v>
      </c>
      <c r="DD37" t="s">
        <v>28</v>
      </c>
      <c r="DE37" t="s">
        <v>28</v>
      </c>
      <c r="DF37" t="s">
        <v>28</v>
      </c>
      <c r="DG37" t="s">
        <v>28</v>
      </c>
      <c r="DH37" t="s">
        <v>3</v>
      </c>
      <c r="DI37" t="s">
        <v>28</v>
      </c>
      <c r="DJ37" t="s">
        <v>28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26</v>
      </c>
      <c r="DW37" t="s">
        <v>26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1024</v>
      </c>
      <c r="ER37">
        <v>505.95</v>
      </c>
      <c r="ES37">
        <v>0</v>
      </c>
      <c r="ET37">
        <v>0</v>
      </c>
      <c r="EU37">
        <v>0</v>
      </c>
      <c r="EV37">
        <v>505.95</v>
      </c>
      <c r="EW37">
        <v>0.9</v>
      </c>
      <c r="EX37">
        <v>0</v>
      </c>
      <c r="EY37">
        <v>0</v>
      </c>
      <c r="FQ37">
        <v>0</v>
      </c>
      <c r="FR37">
        <f t="shared" si="50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1365251613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1"/>
        <v>0</v>
      </c>
      <c r="GM37">
        <f t="shared" si="52"/>
        <v>99.1</v>
      </c>
      <c r="GN37">
        <f t="shared" si="53"/>
        <v>0</v>
      </c>
      <c r="GO37">
        <f t="shared" si="54"/>
        <v>0</v>
      </c>
      <c r="GP37">
        <f t="shared" si="55"/>
        <v>99.1</v>
      </c>
      <c r="GR37">
        <v>0</v>
      </c>
      <c r="GS37">
        <v>3</v>
      </c>
      <c r="GT37">
        <v>0</v>
      </c>
      <c r="GU37" t="s">
        <v>3</v>
      </c>
      <c r="GV37">
        <f t="shared" si="56"/>
        <v>0</v>
      </c>
      <c r="GW37">
        <v>1</v>
      </c>
      <c r="GX37">
        <f t="shared" si="57"/>
        <v>0</v>
      </c>
      <c r="HA37">
        <v>0</v>
      </c>
      <c r="HB37">
        <v>0</v>
      </c>
      <c r="HC37">
        <f t="shared" si="58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9" spans="1:245" x14ac:dyDescent="0.2">
      <c r="A39" s="2">
        <v>51</v>
      </c>
      <c r="B39" s="2">
        <f>B28</f>
        <v>1</v>
      </c>
      <c r="C39" s="2">
        <f>A28</f>
        <v>5</v>
      </c>
      <c r="D39" s="2">
        <f>ROW(A28)</f>
        <v>28</v>
      </c>
      <c r="E39" s="2"/>
      <c r="F39" s="2" t="str">
        <f>IF(F28&lt;&gt;"",F28,"")</f>
        <v>Новый подраздел</v>
      </c>
      <c r="G39" s="2" t="str">
        <f>IF(G28&lt;&gt;"",G28,"")</f>
        <v>Водоснабжение В1,ТЗ</v>
      </c>
      <c r="H39" s="2">
        <v>0</v>
      </c>
      <c r="I39" s="2"/>
      <c r="J39" s="2"/>
      <c r="K39" s="2"/>
      <c r="L39" s="2"/>
      <c r="M39" s="2"/>
      <c r="N39" s="2"/>
      <c r="O39" s="2">
        <f t="shared" ref="O39:T39" si="61">ROUND(AB39,2)</f>
        <v>6470.66</v>
      </c>
      <c r="P39" s="2">
        <f t="shared" si="61"/>
        <v>1.26</v>
      </c>
      <c r="Q39" s="2">
        <f t="shared" si="61"/>
        <v>2822.32</v>
      </c>
      <c r="R39" s="2">
        <f t="shared" si="61"/>
        <v>1789.54</v>
      </c>
      <c r="S39" s="2">
        <f t="shared" si="61"/>
        <v>3647.08</v>
      </c>
      <c r="T39" s="2">
        <f t="shared" si="61"/>
        <v>0</v>
      </c>
      <c r="U39" s="2">
        <f>AH39</f>
        <v>5.3769999999999998</v>
      </c>
      <c r="V39" s="2">
        <f>AI39</f>
        <v>0</v>
      </c>
      <c r="W39" s="2">
        <f>ROUND(AJ39,2)</f>
        <v>0</v>
      </c>
      <c r="X39" s="2">
        <f>ROUND(AK39,2)</f>
        <v>2552.9499999999998</v>
      </c>
      <c r="Y39" s="2">
        <f>ROUND(AL39,2)</f>
        <v>364.71</v>
      </c>
      <c r="Z39" s="2"/>
      <c r="AA39" s="2"/>
      <c r="AB39" s="2">
        <f>ROUND(SUMIF(AA32:AA37,"=1473080740",O32:O37),2)</f>
        <v>6470.66</v>
      </c>
      <c r="AC39" s="2">
        <f>ROUND(SUMIF(AA32:AA37,"=1473080740",P32:P37),2)</f>
        <v>1.26</v>
      </c>
      <c r="AD39" s="2">
        <f>ROUND(SUMIF(AA32:AA37,"=1473080740",Q32:Q37),2)</f>
        <v>2822.32</v>
      </c>
      <c r="AE39" s="2">
        <f>ROUND(SUMIF(AA32:AA37,"=1473080740",R32:R37),2)</f>
        <v>1789.54</v>
      </c>
      <c r="AF39" s="2">
        <f>ROUND(SUMIF(AA32:AA37,"=1473080740",S32:S37),2)</f>
        <v>3647.08</v>
      </c>
      <c r="AG39" s="2">
        <f>ROUND(SUMIF(AA32:AA37,"=1473080740",T32:T37),2)</f>
        <v>0</v>
      </c>
      <c r="AH39" s="2">
        <f>SUMIF(AA32:AA37,"=1473080740",U32:U37)</f>
        <v>5.3769999999999998</v>
      </c>
      <c r="AI39" s="2">
        <f>SUMIF(AA32:AA37,"=1473080740",V32:V37)</f>
        <v>0</v>
      </c>
      <c r="AJ39" s="2">
        <f>ROUND(SUMIF(AA32:AA37,"=1473080740",W32:W37),2)</f>
        <v>0</v>
      </c>
      <c r="AK39" s="2">
        <f>ROUND(SUMIF(AA32:AA37,"=1473080740",X32:X37),2)</f>
        <v>2552.9499999999998</v>
      </c>
      <c r="AL39" s="2">
        <f>ROUND(SUMIF(AA32:AA37,"=1473080740",Y32:Y37),2)</f>
        <v>364.71</v>
      </c>
      <c r="AM39" s="2"/>
      <c r="AN39" s="2"/>
      <c r="AO39" s="2">
        <f t="shared" ref="AO39:BD39" si="62">ROUND(BX39,2)</f>
        <v>0</v>
      </c>
      <c r="AP39" s="2">
        <f t="shared" si="62"/>
        <v>0</v>
      </c>
      <c r="AQ39" s="2">
        <f t="shared" si="62"/>
        <v>0</v>
      </c>
      <c r="AR39" s="2">
        <f t="shared" si="62"/>
        <v>11321.02</v>
      </c>
      <c r="AS39" s="2">
        <f t="shared" si="62"/>
        <v>0</v>
      </c>
      <c r="AT39" s="2">
        <f t="shared" si="62"/>
        <v>0</v>
      </c>
      <c r="AU39" s="2">
        <f t="shared" si="62"/>
        <v>11321.02</v>
      </c>
      <c r="AV39" s="2">
        <f t="shared" si="62"/>
        <v>1.26</v>
      </c>
      <c r="AW39" s="2">
        <f t="shared" si="62"/>
        <v>1.26</v>
      </c>
      <c r="AX39" s="2">
        <f t="shared" si="62"/>
        <v>0</v>
      </c>
      <c r="AY39" s="2">
        <f t="shared" si="62"/>
        <v>1.26</v>
      </c>
      <c r="AZ39" s="2">
        <f t="shared" si="62"/>
        <v>0</v>
      </c>
      <c r="BA39" s="2">
        <f t="shared" si="62"/>
        <v>0</v>
      </c>
      <c r="BB39" s="2">
        <f t="shared" si="62"/>
        <v>0</v>
      </c>
      <c r="BC39" s="2">
        <f t="shared" si="62"/>
        <v>0</v>
      </c>
      <c r="BD39" s="2">
        <f t="shared" si="62"/>
        <v>0</v>
      </c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>
        <f>ROUND(SUMIF(AA32:AA37,"=1473080740",FQ32:FQ37),2)</f>
        <v>0</v>
      </c>
      <c r="BY39" s="2">
        <f>ROUND(SUMIF(AA32:AA37,"=1473080740",FR32:FR37),2)</f>
        <v>0</v>
      </c>
      <c r="BZ39" s="2">
        <f>ROUND(SUMIF(AA32:AA37,"=1473080740",GL32:GL37),2)</f>
        <v>0</v>
      </c>
      <c r="CA39" s="2">
        <f>ROUND(SUMIF(AA32:AA37,"=1473080740",GM32:GM37),2)</f>
        <v>11321.02</v>
      </c>
      <c r="CB39" s="2">
        <f>ROUND(SUMIF(AA32:AA37,"=1473080740",GN32:GN37),2)</f>
        <v>0</v>
      </c>
      <c r="CC39" s="2">
        <f>ROUND(SUMIF(AA32:AA37,"=1473080740",GO32:GO37),2)</f>
        <v>0</v>
      </c>
      <c r="CD39" s="2">
        <f>ROUND(SUMIF(AA32:AA37,"=1473080740",GP32:GP37),2)</f>
        <v>11321.02</v>
      </c>
      <c r="CE39" s="2">
        <f>AC39-BX39</f>
        <v>1.26</v>
      </c>
      <c r="CF39" s="2">
        <f>AC39-BY39</f>
        <v>1.26</v>
      </c>
      <c r="CG39" s="2">
        <f>BX39-BZ39</f>
        <v>0</v>
      </c>
      <c r="CH39" s="2">
        <f>AC39-BX39-BY39+BZ39</f>
        <v>1.26</v>
      </c>
      <c r="CI39" s="2">
        <f>BY39-BZ39</f>
        <v>0</v>
      </c>
      <c r="CJ39" s="2">
        <f>ROUND(SUMIF(AA32:AA37,"=1473080740",GX32:GX37),2)</f>
        <v>0</v>
      </c>
      <c r="CK39" s="2">
        <f>ROUND(SUMIF(AA32:AA37,"=1473080740",GY32:GY37),2)</f>
        <v>0</v>
      </c>
      <c r="CL39" s="2">
        <f>ROUND(SUMIF(AA32:AA37,"=1473080740",GZ32:GZ37),2)</f>
        <v>0</v>
      </c>
      <c r="CM39" s="2">
        <f>ROUND(SUMIF(AA32:AA37,"=1473080740",HD32:HD37),2)</f>
        <v>0</v>
      </c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>
        <v>0</v>
      </c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201</v>
      </c>
      <c r="F41" s="4">
        <f>ROUND(Source!O39,O41)</f>
        <v>6470.66</v>
      </c>
      <c r="G41" s="4" t="s">
        <v>43</v>
      </c>
      <c r="H41" s="4" t="s">
        <v>44</v>
      </c>
      <c r="I41" s="4"/>
      <c r="J41" s="4"/>
      <c r="K41" s="4">
        <v>201</v>
      </c>
      <c r="L41" s="4">
        <v>1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6470.66</v>
      </c>
      <c r="X41" s="4">
        <v>1</v>
      </c>
      <c r="Y41" s="4">
        <v>6470.66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202</v>
      </c>
      <c r="F42" s="4">
        <f>ROUND(Source!P39,O42)</f>
        <v>1.26</v>
      </c>
      <c r="G42" s="4" t="s">
        <v>45</v>
      </c>
      <c r="H42" s="4" t="s">
        <v>46</v>
      </c>
      <c r="I42" s="4"/>
      <c r="J42" s="4"/>
      <c r="K42" s="4">
        <v>202</v>
      </c>
      <c r="L42" s="4">
        <v>2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1.26</v>
      </c>
      <c r="X42" s="4">
        <v>1</v>
      </c>
      <c r="Y42" s="4">
        <v>1.26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222</v>
      </c>
      <c r="F43" s="4">
        <f>ROUND(Source!AO39,O43)</f>
        <v>0</v>
      </c>
      <c r="G43" s="4" t="s">
        <v>47</v>
      </c>
      <c r="H43" s="4" t="s">
        <v>48</v>
      </c>
      <c r="I43" s="4"/>
      <c r="J43" s="4"/>
      <c r="K43" s="4">
        <v>222</v>
      </c>
      <c r="L43" s="4">
        <v>3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225</v>
      </c>
      <c r="F44" s="4">
        <f>ROUND(Source!AV39,O44)</f>
        <v>1.26</v>
      </c>
      <c r="G44" s="4" t="s">
        <v>49</v>
      </c>
      <c r="H44" s="4" t="s">
        <v>50</v>
      </c>
      <c r="I44" s="4"/>
      <c r="J44" s="4"/>
      <c r="K44" s="4">
        <v>225</v>
      </c>
      <c r="L44" s="4">
        <v>4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1.26</v>
      </c>
      <c r="X44" s="4">
        <v>1</v>
      </c>
      <c r="Y44" s="4">
        <v>1.26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226</v>
      </c>
      <c r="F45" s="4">
        <f>ROUND(Source!AW39,O45)</f>
        <v>1.26</v>
      </c>
      <c r="G45" s="4" t="s">
        <v>51</v>
      </c>
      <c r="H45" s="4" t="s">
        <v>52</v>
      </c>
      <c r="I45" s="4"/>
      <c r="J45" s="4"/>
      <c r="K45" s="4">
        <v>226</v>
      </c>
      <c r="L45" s="4">
        <v>5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1.26</v>
      </c>
      <c r="X45" s="4">
        <v>1</v>
      </c>
      <c r="Y45" s="4">
        <v>1.26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227</v>
      </c>
      <c r="F46" s="4">
        <f>ROUND(Source!AX39,O46)</f>
        <v>0</v>
      </c>
      <c r="G46" s="4" t="s">
        <v>53</v>
      </c>
      <c r="H46" s="4" t="s">
        <v>54</v>
      </c>
      <c r="I46" s="4"/>
      <c r="J46" s="4"/>
      <c r="K46" s="4">
        <v>227</v>
      </c>
      <c r="L46" s="4">
        <v>6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228</v>
      </c>
      <c r="F47" s="4">
        <f>ROUND(Source!AY39,O47)</f>
        <v>1.26</v>
      </c>
      <c r="G47" s="4" t="s">
        <v>55</v>
      </c>
      <c r="H47" s="4" t="s">
        <v>56</v>
      </c>
      <c r="I47" s="4"/>
      <c r="J47" s="4"/>
      <c r="K47" s="4">
        <v>228</v>
      </c>
      <c r="L47" s="4">
        <v>7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1.26</v>
      </c>
      <c r="X47" s="4">
        <v>1</v>
      </c>
      <c r="Y47" s="4">
        <v>1.26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216</v>
      </c>
      <c r="F48" s="4">
        <f>ROUND(Source!AP39,O48)</f>
        <v>0</v>
      </c>
      <c r="G48" s="4" t="s">
        <v>57</v>
      </c>
      <c r="H48" s="4" t="s">
        <v>58</v>
      </c>
      <c r="I48" s="4"/>
      <c r="J48" s="4"/>
      <c r="K48" s="4">
        <v>216</v>
      </c>
      <c r="L48" s="4">
        <v>8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223</v>
      </c>
      <c r="F49" s="4">
        <f>ROUND(Source!AQ39,O49)</f>
        <v>0</v>
      </c>
      <c r="G49" s="4" t="s">
        <v>59</v>
      </c>
      <c r="H49" s="4" t="s">
        <v>60</v>
      </c>
      <c r="I49" s="4"/>
      <c r="J49" s="4"/>
      <c r="K49" s="4">
        <v>223</v>
      </c>
      <c r="L49" s="4">
        <v>9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229</v>
      </c>
      <c r="F50" s="4">
        <f>ROUND(Source!AZ39,O50)</f>
        <v>0</v>
      </c>
      <c r="G50" s="4" t="s">
        <v>61</v>
      </c>
      <c r="H50" s="4" t="s">
        <v>62</v>
      </c>
      <c r="I50" s="4"/>
      <c r="J50" s="4"/>
      <c r="K50" s="4">
        <v>229</v>
      </c>
      <c r="L50" s="4">
        <v>10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203</v>
      </c>
      <c r="F51" s="4">
        <f>ROUND(Source!Q39,O51)</f>
        <v>2822.32</v>
      </c>
      <c r="G51" s="4" t="s">
        <v>63</v>
      </c>
      <c r="H51" s="4" t="s">
        <v>64</v>
      </c>
      <c r="I51" s="4"/>
      <c r="J51" s="4"/>
      <c r="K51" s="4">
        <v>203</v>
      </c>
      <c r="L51" s="4">
        <v>11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2822.32</v>
      </c>
      <c r="X51" s="4">
        <v>1</v>
      </c>
      <c r="Y51" s="4">
        <v>2822.32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231</v>
      </c>
      <c r="F52" s="4">
        <f>ROUND(Source!BB39,O52)</f>
        <v>0</v>
      </c>
      <c r="G52" s="4" t="s">
        <v>65</v>
      </c>
      <c r="H52" s="4" t="s">
        <v>66</v>
      </c>
      <c r="I52" s="4"/>
      <c r="J52" s="4"/>
      <c r="K52" s="4">
        <v>231</v>
      </c>
      <c r="L52" s="4">
        <v>12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204</v>
      </c>
      <c r="F53" s="4">
        <f>ROUND(Source!R39,O53)</f>
        <v>1789.54</v>
      </c>
      <c r="G53" s="4" t="s">
        <v>67</v>
      </c>
      <c r="H53" s="4" t="s">
        <v>68</v>
      </c>
      <c r="I53" s="4"/>
      <c r="J53" s="4"/>
      <c r="K53" s="4">
        <v>204</v>
      </c>
      <c r="L53" s="4">
        <v>13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1789.54</v>
      </c>
      <c r="X53" s="4">
        <v>1</v>
      </c>
      <c r="Y53" s="4">
        <v>1789.54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205</v>
      </c>
      <c r="F54" s="4">
        <f>ROUND(Source!S39,O54)</f>
        <v>3647.08</v>
      </c>
      <c r="G54" s="4" t="s">
        <v>69</v>
      </c>
      <c r="H54" s="4" t="s">
        <v>70</v>
      </c>
      <c r="I54" s="4"/>
      <c r="J54" s="4"/>
      <c r="K54" s="4">
        <v>205</v>
      </c>
      <c r="L54" s="4">
        <v>14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3647.08</v>
      </c>
      <c r="X54" s="4">
        <v>1</v>
      </c>
      <c r="Y54" s="4">
        <v>3647.08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232</v>
      </c>
      <c r="F55" s="4">
        <f>ROUND(Source!BC39,O55)</f>
        <v>0</v>
      </c>
      <c r="G55" s="4" t="s">
        <v>71</v>
      </c>
      <c r="H55" s="4" t="s">
        <v>72</v>
      </c>
      <c r="I55" s="4"/>
      <c r="J55" s="4"/>
      <c r="K55" s="4">
        <v>232</v>
      </c>
      <c r="L55" s="4">
        <v>15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214</v>
      </c>
      <c r="F56" s="4">
        <f>ROUND(Source!AS39,O56)</f>
        <v>0</v>
      </c>
      <c r="G56" s="4" t="s">
        <v>73</v>
      </c>
      <c r="H56" s="4" t="s">
        <v>74</v>
      </c>
      <c r="I56" s="4"/>
      <c r="J56" s="4"/>
      <c r="K56" s="4">
        <v>214</v>
      </c>
      <c r="L56" s="4">
        <v>16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215</v>
      </c>
      <c r="F57" s="4">
        <f>ROUND(Source!AT39,O57)</f>
        <v>0</v>
      </c>
      <c r="G57" s="4" t="s">
        <v>75</v>
      </c>
      <c r="H57" s="4" t="s">
        <v>76</v>
      </c>
      <c r="I57" s="4"/>
      <c r="J57" s="4"/>
      <c r="K57" s="4">
        <v>215</v>
      </c>
      <c r="L57" s="4">
        <v>17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217</v>
      </c>
      <c r="F58" s="4">
        <f>ROUND(Source!AU39,O58)</f>
        <v>11321.02</v>
      </c>
      <c r="G58" s="4" t="s">
        <v>77</v>
      </c>
      <c r="H58" s="4" t="s">
        <v>78</v>
      </c>
      <c r="I58" s="4"/>
      <c r="J58" s="4"/>
      <c r="K58" s="4">
        <v>217</v>
      </c>
      <c r="L58" s="4">
        <v>18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11321.02</v>
      </c>
      <c r="X58" s="4">
        <v>1</v>
      </c>
      <c r="Y58" s="4">
        <v>11321.02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230</v>
      </c>
      <c r="F59" s="4">
        <f>ROUND(Source!BA39,O59)</f>
        <v>0</v>
      </c>
      <c r="G59" s="4" t="s">
        <v>79</v>
      </c>
      <c r="H59" s="4" t="s">
        <v>80</v>
      </c>
      <c r="I59" s="4"/>
      <c r="J59" s="4"/>
      <c r="K59" s="4">
        <v>230</v>
      </c>
      <c r="L59" s="4">
        <v>19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206</v>
      </c>
      <c r="F60" s="4">
        <f>ROUND(Source!T39,O60)</f>
        <v>0</v>
      </c>
      <c r="G60" s="4" t="s">
        <v>81</v>
      </c>
      <c r="H60" s="4" t="s">
        <v>82</v>
      </c>
      <c r="I60" s="4"/>
      <c r="J60" s="4"/>
      <c r="K60" s="4">
        <v>206</v>
      </c>
      <c r="L60" s="4">
        <v>20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207</v>
      </c>
      <c r="F61" s="4">
        <f>Source!U39</f>
        <v>5.3769999999999998</v>
      </c>
      <c r="G61" s="4" t="s">
        <v>83</v>
      </c>
      <c r="H61" s="4" t="s">
        <v>84</v>
      </c>
      <c r="I61" s="4"/>
      <c r="J61" s="4"/>
      <c r="K61" s="4">
        <v>207</v>
      </c>
      <c r="L61" s="4">
        <v>21</v>
      </c>
      <c r="M61" s="4">
        <v>3</v>
      </c>
      <c r="N61" s="4" t="s">
        <v>3</v>
      </c>
      <c r="O61" s="4">
        <v>-1</v>
      </c>
      <c r="P61" s="4"/>
      <c r="Q61" s="4"/>
      <c r="R61" s="4"/>
      <c r="S61" s="4"/>
      <c r="T61" s="4"/>
      <c r="U61" s="4"/>
      <c r="V61" s="4"/>
      <c r="W61" s="4">
        <v>5.3769999999999998</v>
      </c>
      <c r="X61" s="4">
        <v>1</v>
      </c>
      <c r="Y61" s="4">
        <v>5.3769999999999998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208</v>
      </c>
      <c r="F62" s="4">
        <f>Source!V39</f>
        <v>0</v>
      </c>
      <c r="G62" s="4" t="s">
        <v>85</v>
      </c>
      <c r="H62" s="4" t="s">
        <v>86</v>
      </c>
      <c r="I62" s="4"/>
      <c r="J62" s="4"/>
      <c r="K62" s="4">
        <v>208</v>
      </c>
      <c r="L62" s="4">
        <v>22</v>
      </c>
      <c r="M62" s="4">
        <v>3</v>
      </c>
      <c r="N62" s="4" t="s">
        <v>3</v>
      </c>
      <c r="O62" s="4">
        <v>-1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209</v>
      </c>
      <c r="F63" s="4">
        <f>ROUND(Source!W39,O63)</f>
        <v>0</v>
      </c>
      <c r="G63" s="4" t="s">
        <v>87</v>
      </c>
      <c r="H63" s="4" t="s">
        <v>88</v>
      </c>
      <c r="I63" s="4"/>
      <c r="J63" s="4"/>
      <c r="K63" s="4">
        <v>209</v>
      </c>
      <c r="L63" s="4">
        <v>23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233</v>
      </c>
      <c r="F64" s="4">
        <f>ROUND(Source!BD39,O64)</f>
        <v>0</v>
      </c>
      <c r="G64" s="4" t="s">
        <v>89</v>
      </c>
      <c r="H64" s="4" t="s">
        <v>90</v>
      </c>
      <c r="I64" s="4"/>
      <c r="J64" s="4"/>
      <c r="K64" s="4">
        <v>233</v>
      </c>
      <c r="L64" s="4">
        <v>24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210</v>
      </c>
      <c r="F65" s="4">
        <f>ROUND(Source!X39,O65)</f>
        <v>2552.9499999999998</v>
      </c>
      <c r="G65" s="4" t="s">
        <v>91</v>
      </c>
      <c r="H65" s="4" t="s">
        <v>92</v>
      </c>
      <c r="I65" s="4"/>
      <c r="J65" s="4"/>
      <c r="K65" s="4">
        <v>210</v>
      </c>
      <c r="L65" s="4">
        <v>25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2552.9499999999998</v>
      </c>
      <c r="X65" s="4">
        <v>1</v>
      </c>
      <c r="Y65" s="4">
        <v>2552.9499999999998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211</v>
      </c>
      <c r="F66" s="4">
        <f>ROUND(Source!Y39,O66)</f>
        <v>364.71</v>
      </c>
      <c r="G66" s="4" t="s">
        <v>93</v>
      </c>
      <c r="H66" s="4" t="s">
        <v>94</v>
      </c>
      <c r="I66" s="4"/>
      <c r="J66" s="4"/>
      <c r="K66" s="4">
        <v>211</v>
      </c>
      <c r="L66" s="4">
        <v>26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364.71</v>
      </c>
      <c r="X66" s="4">
        <v>1</v>
      </c>
      <c r="Y66" s="4">
        <v>364.71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224</v>
      </c>
      <c r="F67" s="4">
        <f>ROUND(Source!AR39,O67)</f>
        <v>11321.02</v>
      </c>
      <c r="G67" s="4" t="s">
        <v>95</v>
      </c>
      <c r="H67" s="4" t="s">
        <v>96</v>
      </c>
      <c r="I67" s="4"/>
      <c r="J67" s="4"/>
      <c r="K67" s="4">
        <v>224</v>
      </c>
      <c r="L67" s="4">
        <v>27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11321.02</v>
      </c>
      <c r="X67" s="4">
        <v>1</v>
      </c>
      <c r="Y67" s="4">
        <v>11321.02</v>
      </c>
      <c r="Z67" s="4"/>
      <c r="AA67" s="4"/>
      <c r="AB67" s="4"/>
    </row>
    <row r="69" spans="1:245" x14ac:dyDescent="0.2">
      <c r="A69" s="1">
        <v>5</v>
      </c>
      <c r="B69" s="1">
        <v>0</v>
      </c>
      <c r="C69" s="1"/>
      <c r="D69" s="1">
        <f>ROW(A78)</f>
        <v>78</v>
      </c>
      <c r="E69" s="1"/>
      <c r="F69" s="1" t="s">
        <v>14</v>
      </c>
      <c r="G69" s="1" t="s">
        <v>97</v>
      </c>
      <c r="H69" s="1" t="s">
        <v>3</v>
      </c>
      <c r="I69" s="1">
        <v>0</v>
      </c>
      <c r="J69" s="1"/>
      <c r="K69" s="1">
        <v>-1</v>
      </c>
      <c r="L69" s="1"/>
      <c r="M69" s="1" t="s">
        <v>3</v>
      </c>
      <c r="N69" s="1"/>
      <c r="O69" s="1"/>
      <c r="P69" s="1"/>
      <c r="Q69" s="1"/>
      <c r="R69" s="1"/>
      <c r="S69" s="1">
        <v>0</v>
      </c>
      <c r="T69" s="1"/>
      <c r="U69" s="1" t="s">
        <v>3</v>
      </c>
      <c r="V69" s="1">
        <v>0</v>
      </c>
      <c r="W69" s="1"/>
      <c r="X69" s="1"/>
      <c r="Y69" s="1"/>
      <c r="Z69" s="1"/>
      <c r="AA69" s="1"/>
      <c r="AB69" s="1" t="s">
        <v>3</v>
      </c>
      <c r="AC69" s="1" t="s">
        <v>3</v>
      </c>
      <c r="AD69" s="1" t="s">
        <v>3</v>
      </c>
      <c r="AE69" s="1" t="s">
        <v>3</v>
      </c>
      <c r="AF69" s="1" t="s">
        <v>3</v>
      </c>
      <c r="AG69" s="1" t="s">
        <v>3</v>
      </c>
      <c r="AH69" s="1"/>
      <c r="AI69" s="1"/>
      <c r="AJ69" s="1"/>
      <c r="AK69" s="1"/>
      <c r="AL69" s="1"/>
      <c r="AM69" s="1"/>
      <c r="AN69" s="1"/>
      <c r="AO69" s="1"/>
      <c r="AP69" s="1" t="s">
        <v>3</v>
      </c>
      <c r="AQ69" s="1" t="s">
        <v>3</v>
      </c>
      <c r="AR69" s="1" t="s">
        <v>3</v>
      </c>
      <c r="AS69" s="1"/>
      <c r="AT69" s="1"/>
      <c r="AU69" s="1"/>
      <c r="AV69" s="1"/>
      <c r="AW69" s="1"/>
      <c r="AX69" s="1"/>
      <c r="AY69" s="1"/>
      <c r="AZ69" s="1" t="s">
        <v>3</v>
      </c>
      <c r="BA69" s="1"/>
      <c r="BB69" s="1" t="s">
        <v>3</v>
      </c>
      <c r="BC69" s="1" t="s">
        <v>3</v>
      </c>
      <c r="BD69" s="1" t="s">
        <v>3</v>
      </c>
      <c r="BE69" s="1" t="s">
        <v>3</v>
      </c>
      <c r="BF69" s="1" t="s">
        <v>3</v>
      </c>
      <c r="BG69" s="1" t="s">
        <v>3</v>
      </c>
      <c r="BH69" s="1" t="s">
        <v>3</v>
      </c>
      <c r="BI69" s="1" t="s">
        <v>3</v>
      </c>
      <c r="BJ69" s="1" t="s">
        <v>3</v>
      </c>
      <c r="BK69" s="1" t="s">
        <v>3</v>
      </c>
      <c r="BL69" s="1" t="s">
        <v>3</v>
      </c>
      <c r="BM69" s="1" t="s">
        <v>3</v>
      </c>
      <c r="BN69" s="1" t="s">
        <v>3</v>
      </c>
      <c r="BO69" s="1" t="s">
        <v>3</v>
      </c>
      <c r="BP69" s="1" t="s">
        <v>3</v>
      </c>
      <c r="BQ69" s="1"/>
      <c r="BR69" s="1"/>
      <c r="BS69" s="1"/>
      <c r="BT69" s="1"/>
      <c r="BU69" s="1"/>
      <c r="BV69" s="1"/>
      <c r="BW69" s="1"/>
      <c r="BX69" s="1">
        <v>0</v>
      </c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>
        <v>0</v>
      </c>
    </row>
    <row r="71" spans="1:245" x14ac:dyDescent="0.2">
      <c r="A71" s="2">
        <v>52</v>
      </c>
      <c r="B71" s="2">
        <f t="shared" ref="B71:G71" si="63">B78</f>
        <v>0</v>
      </c>
      <c r="C71" s="2">
        <f t="shared" si="63"/>
        <v>5</v>
      </c>
      <c r="D71" s="2">
        <f t="shared" si="63"/>
        <v>69</v>
      </c>
      <c r="E71" s="2">
        <f t="shared" si="63"/>
        <v>0</v>
      </c>
      <c r="F71" s="2" t="str">
        <f t="shared" si="63"/>
        <v>Новый подраздел</v>
      </c>
      <c r="G71" s="2" t="str">
        <f t="shared" si="63"/>
        <v>Канализация К1</v>
      </c>
      <c r="H71" s="2"/>
      <c r="I71" s="2"/>
      <c r="J71" s="2"/>
      <c r="K71" s="2"/>
      <c r="L71" s="2"/>
      <c r="M71" s="2"/>
      <c r="N71" s="2"/>
      <c r="O71" s="2">
        <f t="shared" ref="O71:AT71" si="64">O78</f>
        <v>0</v>
      </c>
      <c r="P71" s="2">
        <f t="shared" si="64"/>
        <v>0</v>
      </c>
      <c r="Q71" s="2">
        <f t="shared" si="64"/>
        <v>0</v>
      </c>
      <c r="R71" s="2">
        <f t="shared" si="64"/>
        <v>0</v>
      </c>
      <c r="S71" s="2">
        <f t="shared" si="64"/>
        <v>0</v>
      </c>
      <c r="T71" s="2">
        <f t="shared" si="64"/>
        <v>0</v>
      </c>
      <c r="U71" s="2">
        <f t="shared" si="64"/>
        <v>0</v>
      </c>
      <c r="V71" s="2">
        <f t="shared" si="64"/>
        <v>0</v>
      </c>
      <c r="W71" s="2">
        <f t="shared" si="64"/>
        <v>0</v>
      </c>
      <c r="X71" s="2">
        <f t="shared" si="64"/>
        <v>0</v>
      </c>
      <c r="Y71" s="2">
        <f t="shared" si="64"/>
        <v>0</v>
      </c>
      <c r="Z71" s="2">
        <f t="shared" si="64"/>
        <v>0</v>
      </c>
      <c r="AA71" s="2">
        <f t="shared" si="64"/>
        <v>0</v>
      </c>
      <c r="AB71" s="2">
        <f t="shared" si="64"/>
        <v>0</v>
      </c>
      <c r="AC71" s="2">
        <f t="shared" si="64"/>
        <v>0</v>
      </c>
      <c r="AD71" s="2">
        <f t="shared" si="64"/>
        <v>0</v>
      </c>
      <c r="AE71" s="2">
        <f t="shared" si="64"/>
        <v>0</v>
      </c>
      <c r="AF71" s="2">
        <f t="shared" si="64"/>
        <v>0</v>
      </c>
      <c r="AG71" s="2">
        <f t="shared" si="64"/>
        <v>0</v>
      </c>
      <c r="AH71" s="2">
        <f t="shared" si="64"/>
        <v>0</v>
      </c>
      <c r="AI71" s="2">
        <f t="shared" si="64"/>
        <v>0</v>
      </c>
      <c r="AJ71" s="2">
        <f t="shared" si="64"/>
        <v>0</v>
      </c>
      <c r="AK71" s="2">
        <f t="shared" si="64"/>
        <v>0</v>
      </c>
      <c r="AL71" s="2">
        <f t="shared" si="64"/>
        <v>0</v>
      </c>
      <c r="AM71" s="2">
        <f t="shared" si="64"/>
        <v>0</v>
      </c>
      <c r="AN71" s="2">
        <f t="shared" si="64"/>
        <v>0</v>
      </c>
      <c r="AO71" s="2">
        <f t="shared" si="64"/>
        <v>0</v>
      </c>
      <c r="AP71" s="2">
        <f t="shared" si="64"/>
        <v>0</v>
      </c>
      <c r="AQ71" s="2">
        <f t="shared" si="64"/>
        <v>0</v>
      </c>
      <c r="AR71" s="2">
        <f t="shared" si="64"/>
        <v>0</v>
      </c>
      <c r="AS71" s="2">
        <f t="shared" si="64"/>
        <v>0</v>
      </c>
      <c r="AT71" s="2">
        <f t="shared" si="64"/>
        <v>0</v>
      </c>
      <c r="AU71" s="2">
        <f t="shared" ref="AU71:BZ71" si="65">AU78</f>
        <v>0</v>
      </c>
      <c r="AV71" s="2">
        <f t="shared" si="65"/>
        <v>0</v>
      </c>
      <c r="AW71" s="2">
        <f t="shared" si="65"/>
        <v>0</v>
      </c>
      <c r="AX71" s="2">
        <f t="shared" si="65"/>
        <v>0</v>
      </c>
      <c r="AY71" s="2">
        <f t="shared" si="65"/>
        <v>0</v>
      </c>
      <c r="AZ71" s="2">
        <f t="shared" si="65"/>
        <v>0</v>
      </c>
      <c r="BA71" s="2">
        <f t="shared" si="65"/>
        <v>0</v>
      </c>
      <c r="BB71" s="2">
        <f t="shared" si="65"/>
        <v>0</v>
      </c>
      <c r="BC71" s="2">
        <f t="shared" si="65"/>
        <v>0</v>
      </c>
      <c r="BD71" s="2">
        <f t="shared" si="65"/>
        <v>0</v>
      </c>
      <c r="BE71" s="2">
        <f t="shared" si="65"/>
        <v>0</v>
      </c>
      <c r="BF71" s="2">
        <f t="shared" si="65"/>
        <v>0</v>
      </c>
      <c r="BG71" s="2">
        <f t="shared" si="65"/>
        <v>0</v>
      </c>
      <c r="BH71" s="2">
        <f t="shared" si="65"/>
        <v>0</v>
      </c>
      <c r="BI71" s="2">
        <f t="shared" si="65"/>
        <v>0</v>
      </c>
      <c r="BJ71" s="2">
        <f t="shared" si="65"/>
        <v>0</v>
      </c>
      <c r="BK71" s="2">
        <f t="shared" si="65"/>
        <v>0</v>
      </c>
      <c r="BL71" s="2">
        <f t="shared" si="65"/>
        <v>0</v>
      </c>
      <c r="BM71" s="2">
        <f t="shared" si="65"/>
        <v>0</v>
      </c>
      <c r="BN71" s="2">
        <f t="shared" si="65"/>
        <v>0</v>
      </c>
      <c r="BO71" s="2">
        <f t="shared" si="65"/>
        <v>0</v>
      </c>
      <c r="BP71" s="2">
        <f t="shared" si="65"/>
        <v>0</v>
      </c>
      <c r="BQ71" s="2">
        <f t="shared" si="65"/>
        <v>0</v>
      </c>
      <c r="BR71" s="2">
        <f t="shared" si="65"/>
        <v>0</v>
      </c>
      <c r="BS71" s="2">
        <f t="shared" si="65"/>
        <v>0</v>
      </c>
      <c r="BT71" s="2">
        <f t="shared" si="65"/>
        <v>0</v>
      </c>
      <c r="BU71" s="2">
        <f t="shared" si="65"/>
        <v>0</v>
      </c>
      <c r="BV71" s="2">
        <f t="shared" si="65"/>
        <v>0</v>
      </c>
      <c r="BW71" s="2">
        <f t="shared" si="65"/>
        <v>0</v>
      </c>
      <c r="BX71" s="2">
        <f t="shared" si="65"/>
        <v>0</v>
      </c>
      <c r="BY71" s="2">
        <f t="shared" si="65"/>
        <v>0</v>
      </c>
      <c r="BZ71" s="2">
        <f t="shared" si="65"/>
        <v>0</v>
      </c>
      <c r="CA71" s="2">
        <f t="shared" ref="CA71:DF71" si="66">CA78</f>
        <v>0</v>
      </c>
      <c r="CB71" s="2">
        <f t="shared" si="66"/>
        <v>0</v>
      </c>
      <c r="CC71" s="2">
        <f t="shared" si="66"/>
        <v>0</v>
      </c>
      <c r="CD71" s="2">
        <f t="shared" si="66"/>
        <v>0</v>
      </c>
      <c r="CE71" s="2">
        <f t="shared" si="66"/>
        <v>0</v>
      </c>
      <c r="CF71" s="2">
        <f t="shared" si="66"/>
        <v>0</v>
      </c>
      <c r="CG71" s="2">
        <f t="shared" si="66"/>
        <v>0</v>
      </c>
      <c r="CH71" s="2">
        <f t="shared" si="66"/>
        <v>0</v>
      </c>
      <c r="CI71" s="2">
        <f t="shared" si="66"/>
        <v>0</v>
      </c>
      <c r="CJ71" s="2">
        <f t="shared" si="66"/>
        <v>0</v>
      </c>
      <c r="CK71" s="2">
        <f t="shared" si="66"/>
        <v>0</v>
      </c>
      <c r="CL71" s="2">
        <f t="shared" si="66"/>
        <v>0</v>
      </c>
      <c r="CM71" s="2">
        <f t="shared" si="66"/>
        <v>0</v>
      </c>
      <c r="CN71" s="2">
        <f t="shared" si="66"/>
        <v>0</v>
      </c>
      <c r="CO71" s="2">
        <f t="shared" si="66"/>
        <v>0</v>
      </c>
      <c r="CP71" s="2">
        <f t="shared" si="66"/>
        <v>0</v>
      </c>
      <c r="CQ71" s="2">
        <f t="shared" si="66"/>
        <v>0</v>
      </c>
      <c r="CR71" s="2">
        <f t="shared" si="66"/>
        <v>0</v>
      </c>
      <c r="CS71" s="2">
        <f t="shared" si="66"/>
        <v>0</v>
      </c>
      <c r="CT71" s="2">
        <f t="shared" si="66"/>
        <v>0</v>
      </c>
      <c r="CU71" s="2">
        <f t="shared" si="66"/>
        <v>0</v>
      </c>
      <c r="CV71" s="2">
        <f t="shared" si="66"/>
        <v>0</v>
      </c>
      <c r="CW71" s="2">
        <f t="shared" si="66"/>
        <v>0</v>
      </c>
      <c r="CX71" s="2">
        <f t="shared" si="66"/>
        <v>0</v>
      </c>
      <c r="CY71" s="2">
        <f t="shared" si="66"/>
        <v>0</v>
      </c>
      <c r="CZ71" s="2">
        <f t="shared" si="66"/>
        <v>0</v>
      </c>
      <c r="DA71" s="2">
        <f t="shared" si="66"/>
        <v>0</v>
      </c>
      <c r="DB71" s="2">
        <f t="shared" si="66"/>
        <v>0</v>
      </c>
      <c r="DC71" s="2">
        <f t="shared" si="66"/>
        <v>0</v>
      </c>
      <c r="DD71" s="2">
        <f t="shared" si="66"/>
        <v>0</v>
      </c>
      <c r="DE71" s="2">
        <f t="shared" si="66"/>
        <v>0</v>
      </c>
      <c r="DF71" s="2">
        <f t="shared" si="66"/>
        <v>0</v>
      </c>
      <c r="DG71" s="3">
        <f t="shared" ref="DG71:EL71" si="67">DG78</f>
        <v>0</v>
      </c>
      <c r="DH71" s="3">
        <f t="shared" si="67"/>
        <v>0</v>
      </c>
      <c r="DI71" s="3">
        <f t="shared" si="67"/>
        <v>0</v>
      </c>
      <c r="DJ71" s="3">
        <f t="shared" si="67"/>
        <v>0</v>
      </c>
      <c r="DK71" s="3">
        <f t="shared" si="67"/>
        <v>0</v>
      </c>
      <c r="DL71" s="3">
        <f t="shared" si="67"/>
        <v>0</v>
      </c>
      <c r="DM71" s="3">
        <f t="shared" si="67"/>
        <v>0</v>
      </c>
      <c r="DN71" s="3">
        <f t="shared" si="67"/>
        <v>0</v>
      </c>
      <c r="DO71" s="3">
        <f t="shared" si="67"/>
        <v>0</v>
      </c>
      <c r="DP71" s="3">
        <f t="shared" si="67"/>
        <v>0</v>
      </c>
      <c r="DQ71" s="3">
        <f t="shared" si="67"/>
        <v>0</v>
      </c>
      <c r="DR71" s="3">
        <f t="shared" si="67"/>
        <v>0</v>
      </c>
      <c r="DS71" s="3">
        <f t="shared" si="67"/>
        <v>0</v>
      </c>
      <c r="DT71" s="3">
        <f t="shared" si="67"/>
        <v>0</v>
      </c>
      <c r="DU71" s="3">
        <f t="shared" si="67"/>
        <v>0</v>
      </c>
      <c r="DV71" s="3">
        <f t="shared" si="67"/>
        <v>0</v>
      </c>
      <c r="DW71" s="3">
        <f t="shared" si="67"/>
        <v>0</v>
      </c>
      <c r="DX71" s="3">
        <f t="shared" si="67"/>
        <v>0</v>
      </c>
      <c r="DY71" s="3">
        <f t="shared" si="67"/>
        <v>0</v>
      </c>
      <c r="DZ71" s="3">
        <f t="shared" si="67"/>
        <v>0</v>
      </c>
      <c r="EA71" s="3">
        <f t="shared" si="67"/>
        <v>0</v>
      </c>
      <c r="EB71" s="3">
        <f t="shared" si="67"/>
        <v>0</v>
      </c>
      <c r="EC71" s="3">
        <f t="shared" si="67"/>
        <v>0</v>
      </c>
      <c r="ED71" s="3">
        <f t="shared" si="67"/>
        <v>0</v>
      </c>
      <c r="EE71" s="3">
        <f t="shared" si="67"/>
        <v>0</v>
      </c>
      <c r="EF71" s="3">
        <f t="shared" si="67"/>
        <v>0</v>
      </c>
      <c r="EG71" s="3">
        <f t="shared" si="67"/>
        <v>0</v>
      </c>
      <c r="EH71" s="3">
        <f t="shared" si="67"/>
        <v>0</v>
      </c>
      <c r="EI71" s="3">
        <f t="shared" si="67"/>
        <v>0</v>
      </c>
      <c r="EJ71" s="3">
        <f t="shared" si="67"/>
        <v>0</v>
      </c>
      <c r="EK71" s="3">
        <f t="shared" si="67"/>
        <v>0</v>
      </c>
      <c r="EL71" s="3">
        <f t="shared" si="67"/>
        <v>0</v>
      </c>
      <c r="EM71" s="3">
        <f t="shared" ref="EM71:FR71" si="68">EM78</f>
        <v>0</v>
      </c>
      <c r="EN71" s="3">
        <f t="shared" si="68"/>
        <v>0</v>
      </c>
      <c r="EO71" s="3">
        <f t="shared" si="68"/>
        <v>0</v>
      </c>
      <c r="EP71" s="3">
        <f t="shared" si="68"/>
        <v>0</v>
      </c>
      <c r="EQ71" s="3">
        <f t="shared" si="68"/>
        <v>0</v>
      </c>
      <c r="ER71" s="3">
        <f t="shared" si="68"/>
        <v>0</v>
      </c>
      <c r="ES71" s="3">
        <f t="shared" si="68"/>
        <v>0</v>
      </c>
      <c r="ET71" s="3">
        <f t="shared" si="68"/>
        <v>0</v>
      </c>
      <c r="EU71" s="3">
        <f t="shared" si="68"/>
        <v>0</v>
      </c>
      <c r="EV71" s="3">
        <f t="shared" si="68"/>
        <v>0</v>
      </c>
      <c r="EW71" s="3">
        <f t="shared" si="68"/>
        <v>0</v>
      </c>
      <c r="EX71" s="3">
        <f t="shared" si="68"/>
        <v>0</v>
      </c>
      <c r="EY71" s="3">
        <f t="shared" si="68"/>
        <v>0</v>
      </c>
      <c r="EZ71" s="3">
        <f t="shared" si="68"/>
        <v>0</v>
      </c>
      <c r="FA71" s="3">
        <f t="shared" si="68"/>
        <v>0</v>
      </c>
      <c r="FB71" s="3">
        <f t="shared" si="68"/>
        <v>0</v>
      </c>
      <c r="FC71" s="3">
        <f t="shared" si="68"/>
        <v>0</v>
      </c>
      <c r="FD71" s="3">
        <f t="shared" si="68"/>
        <v>0</v>
      </c>
      <c r="FE71" s="3">
        <f t="shared" si="68"/>
        <v>0</v>
      </c>
      <c r="FF71" s="3">
        <f t="shared" si="68"/>
        <v>0</v>
      </c>
      <c r="FG71" s="3">
        <f t="shared" si="68"/>
        <v>0</v>
      </c>
      <c r="FH71" s="3">
        <f t="shared" si="68"/>
        <v>0</v>
      </c>
      <c r="FI71" s="3">
        <f t="shared" si="68"/>
        <v>0</v>
      </c>
      <c r="FJ71" s="3">
        <f t="shared" si="68"/>
        <v>0</v>
      </c>
      <c r="FK71" s="3">
        <f t="shared" si="68"/>
        <v>0</v>
      </c>
      <c r="FL71" s="3">
        <f t="shared" si="68"/>
        <v>0</v>
      </c>
      <c r="FM71" s="3">
        <f t="shared" si="68"/>
        <v>0</v>
      </c>
      <c r="FN71" s="3">
        <f t="shared" si="68"/>
        <v>0</v>
      </c>
      <c r="FO71" s="3">
        <f t="shared" si="68"/>
        <v>0</v>
      </c>
      <c r="FP71" s="3">
        <f t="shared" si="68"/>
        <v>0</v>
      </c>
      <c r="FQ71" s="3">
        <f t="shared" si="68"/>
        <v>0</v>
      </c>
      <c r="FR71" s="3">
        <f t="shared" si="68"/>
        <v>0</v>
      </c>
      <c r="FS71" s="3">
        <f t="shared" ref="FS71:GX71" si="69">FS78</f>
        <v>0</v>
      </c>
      <c r="FT71" s="3">
        <f t="shared" si="69"/>
        <v>0</v>
      </c>
      <c r="FU71" s="3">
        <f t="shared" si="69"/>
        <v>0</v>
      </c>
      <c r="FV71" s="3">
        <f t="shared" si="69"/>
        <v>0</v>
      </c>
      <c r="FW71" s="3">
        <f t="shared" si="69"/>
        <v>0</v>
      </c>
      <c r="FX71" s="3">
        <f t="shared" si="69"/>
        <v>0</v>
      </c>
      <c r="FY71" s="3">
        <f t="shared" si="69"/>
        <v>0</v>
      </c>
      <c r="FZ71" s="3">
        <f t="shared" si="69"/>
        <v>0</v>
      </c>
      <c r="GA71" s="3">
        <f t="shared" si="69"/>
        <v>0</v>
      </c>
      <c r="GB71" s="3">
        <f t="shared" si="69"/>
        <v>0</v>
      </c>
      <c r="GC71" s="3">
        <f t="shared" si="69"/>
        <v>0</v>
      </c>
      <c r="GD71" s="3">
        <f t="shared" si="69"/>
        <v>0</v>
      </c>
      <c r="GE71" s="3">
        <f t="shared" si="69"/>
        <v>0</v>
      </c>
      <c r="GF71" s="3">
        <f t="shared" si="69"/>
        <v>0</v>
      </c>
      <c r="GG71" s="3">
        <f t="shared" si="69"/>
        <v>0</v>
      </c>
      <c r="GH71" s="3">
        <f t="shared" si="69"/>
        <v>0</v>
      </c>
      <c r="GI71" s="3">
        <f t="shared" si="69"/>
        <v>0</v>
      </c>
      <c r="GJ71" s="3">
        <f t="shared" si="69"/>
        <v>0</v>
      </c>
      <c r="GK71" s="3">
        <f t="shared" si="69"/>
        <v>0</v>
      </c>
      <c r="GL71" s="3">
        <f t="shared" si="69"/>
        <v>0</v>
      </c>
      <c r="GM71" s="3">
        <f t="shared" si="69"/>
        <v>0</v>
      </c>
      <c r="GN71" s="3">
        <f t="shared" si="69"/>
        <v>0</v>
      </c>
      <c r="GO71" s="3">
        <f t="shared" si="69"/>
        <v>0</v>
      </c>
      <c r="GP71" s="3">
        <f t="shared" si="69"/>
        <v>0</v>
      </c>
      <c r="GQ71" s="3">
        <f t="shared" si="69"/>
        <v>0</v>
      </c>
      <c r="GR71" s="3">
        <f t="shared" si="69"/>
        <v>0</v>
      </c>
      <c r="GS71" s="3">
        <f t="shared" si="69"/>
        <v>0</v>
      </c>
      <c r="GT71" s="3">
        <f t="shared" si="69"/>
        <v>0</v>
      </c>
      <c r="GU71" s="3">
        <f t="shared" si="69"/>
        <v>0</v>
      </c>
      <c r="GV71" s="3">
        <f t="shared" si="69"/>
        <v>0</v>
      </c>
      <c r="GW71" s="3">
        <f t="shared" si="69"/>
        <v>0</v>
      </c>
      <c r="GX71" s="3">
        <f t="shared" si="69"/>
        <v>0</v>
      </c>
    </row>
    <row r="73" spans="1:245" x14ac:dyDescent="0.2">
      <c r="A73">
        <v>17</v>
      </c>
      <c r="B73">
        <v>0</v>
      </c>
      <c r="D73">
        <f>ROW(EtalonRes!A12)</f>
        <v>12</v>
      </c>
      <c r="E73" t="s">
        <v>3</v>
      </c>
      <c r="F73" t="s">
        <v>98</v>
      </c>
      <c r="G73" t="s">
        <v>99</v>
      </c>
      <c r="H73" t="s">
        <v>26</v>
      </c>
      <c r="I73">
        <f>ROUND((27+18)/100,9)</f>
        <v>0.45</v>
      </c>
      <c r="J73">
        <v>0</v>
      </c>
      <c r="K73">
        <f>ROUND((27+18)/100,9)</f>
        <v>0.45</v>
      </c>
      <c r="O73">
        <f>ROUND(CP73,2)</f>
        <v>7608.34</v>
      </c>
      <c r="P73">
        <f>ROUND(CQ73*I73,2)</f>
        <v>1227.7</v>
      </c>
      <c r="Q73">
        <f>ROUND(CR73*I73,2)</f>
        <v>0</v>
      </c>
      <c r="R73">
        <f>ROUND(CS73*I73,2)</f>
        <v>0</v>
      </c>
      <c r="S73">
        <f>ROUND(CT73*I73,2)</f>
        <v>6380.64</v>
      </c>
      <c r="T73">
        <f>ROUND(CU73*I73,2)</f>
        <v>0</v>
      </c>
      <c r="U73">
        <f>CV73*I73</f>
        <v>13.292999999999999</v>
      </c>
      <c r="V73">
        <f>CW73*I73</f>
        <v>0</v>
      </c>
      <c r="W73">
        <f>ROUND(CX73*I73,2)</f>
        <v>0</v>
      </c>
      <c r="X73">
        <f t="shared" ref="X73:Y76" si="70">ROUND(CY73,2)</f>
        <v>4466.45</v>
      </c>
      <c r="Y73">
        <f t="shared" si="70"/>
        <v>638.05999999999995</v>
      </c>
      <c r="AA73">
        <v>-1</v>
      </c>
      <c r="AB73">
        <f>ROUND((AC73+AD73+AF73),6)</f>
        <v>16907.419999999998</v>
      </c>
      <c r="AC73">
        <f>ROUND((ES73),6)</f>
        <v>2728.22</v>
      </c>
      <c r="AD73">
        <f>ROUND((((ET73)-(EU73))+AE73),6)</f>
        <v>0</v>
      </c>
      <c r="AE73">
        <f>ROUND((EU73),6)</f>
        <v>0</v>
      </c>
      <c r="AF73">
        <f>ROUND((EV73),6)</f>
        <v>14179.2</v>
      </c>
      <c r="AG73">
        <f>ROUND((AP73),6)</f>
        <v>0</v>
      </c>
      <c r="AH73">
        <f>(EW73)</f>
        <v>29.54</v>
      </c>
      <c r="AI73">
        <f>(EX73)</f>
        <v>0</v>
      </c>
      <c r="AJ73">
        <f>(AS73)</f>
        <v>0</v>
      </c>
      <c r="AK73">
        <v>16907.419999999998</v>
      </c>
      <c r="AL73">
        <v>2728.22</v>
      </c>
      <c r="AM73">
        <v>0</v>
      </c>
      <c r="AN73">
        <v>0</v>
      </c>
      <c r="AO73">
        <v>14179.2</v>
      </c>
      <c r="AP73">
        <v>0</v>
      </c>
      <c r="AQ73">
        <v>29.54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100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>(P73+Q73+S73)</f>
        <v>7608.34</v>
      </c>
      <c r="CQ73">
        <f>(AC73*BC73*AW73)</f>
        <v>2728.22</v>
      </c>
      <c r="CR73">
        <f>((((ET73)*BB73-(EU73)*BS73)+AE73*BS73)*AV73)</f>
        <v>0</v>
      </c>
      <c r="CS73">
        <f>(AE73*BS73*AV73)</f>
        <v>0</v>
      </c>
      <c r="CT73">
        <f>(AF73*BA73*AV73)</f>
        <v>14179.2</v>
      </c>
      <c r="CU73">
        <f>AG73</f>
        <v>0</v>
      </c>
      <c r="CV73">
        <f>(AH73*AV73)</f>
        <v>29.54</v>
      </c>
      <c r="CW73">
        <f t="shared" ref="CW73:CX76" si="71">AI73</f>
        <v>0</v>
      </c>
      <c r="CX73">
        <f t="shared" si="71"/>
        <v>0</v>
      </c>
      <c r="CY73">
        <f>((S73*BZ73)/100)</f>
        <v>4466.4480000000003</v>
      </c>
      <c r="CZ73">
        <f>((S73*CA73)/100)</f>
        <v>638.06399999999996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1003</v>
      </c>
      <c r="DV73" t="s">
        <v>26</v>
      </c>
      <c r="DW73" t="s">
        <v>26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1441815344</v>
      </c>
      <c r="EF73">
        <v>1</v>
      </c>
      <c r="EG73" t="s">
        <v>21</v>
      </c>
      <c r="EH73">
        <v>0</v>
      </c>
      <c r="EI73" t="s">
        <v>3</v>
      </c>
      <c r="EJ73">
        <v>4</v>
      </c>
      <c r="EK73">
        <v>0</v>
      </c>
      <c r="EL73" t="s">
        <v>22</v>
      </c>
      <c r="EM73" t="s">
        <v>23</v>
      </c>
      <c r="EO73" t="s">
        <v>3</v>
      </c>
      <c r="EQ73">
        <v>1311744</v>
      </c>
      <c r="ER73">
        <v>16907.419999999998</v>
      </c>
      <c r="ES73">
        <v>2728.22</v>
      </c>
      <c r="ET73">
        <v>0</v>
      </c>
      <c r="EU73">
        <v>0</v>
      </c>
      <c r="EV73">
        <v>14179.2</v>
      </c>
      <c r="EW73">
        <v>29.54</v>
      </c>
      <c r="EX73">
        <v>0</v>
      </c>
      <c r="EY73">
        <v>0</v>
      </c>
      <c r="FQ73">
        <v>0</v>
      </c>
      <c r="FR73">
        <f>ROUND(IF(BI73=3,GM73,0),2)</f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-317825441</v>
      </c>
      <c r="GG73">
        <v>2</v>
      </c>
      <c r="GH73">
        <v>1</v>
      </c>
      <c r="GI73">
        <v>-2</v>
      </c>
      <c r="GJ73">
        <v>0</v>
      </c>
      <c r="GK73">
        <f>ROUND(R73*(R12)/100,2)</f>
        <v>0</v>
      </c>
      <c r="GL73">
        <f>ROUND(IF(AND(BH73=3,BI73=3,FS73&lt;&gt;0),P73,0),2)</f>
        <v>0</v>
      </c>
      <c r="GM73">
        <f>ROUND(O73+X73+Y73+GK73,2)+GX73</f>
        <v>12712.85</v>
      </c>
      <c r="GN73">
        <f>IF(OR(BI73=0,BI73=1),GM73-GX73,0)</f>
        <v>0</v>
      </c>
      <c r="GO73">
        <f>IF(BI73=2,GM73-GX73,0)</f>
        <v>0</v>
      </c>
      <c r="GP73">
        <f>IF(BI73=4,GM73-GX73,0)</f>
        <v>12712.85</v>
      </c>
      <c r="GR73">
        <v>0</v>
      </c>
      <c r="GS73">
        <v>3</v>
      </c>
      <c r="GT73">
        <v>0</v>
      </c>
      <c r="GU73" t="s">
        <v>3</v>
      </c>
      <c r="GV73">
        <f>ROUND((GT73),6)</f>
        <v>0</v>
      </c>
      <c r="GW73">
        <v>1</v>
      </c>
      <c r="GX73">
        <f>ROUND(HC73*I73,2)</f>
        <v>0</v>
      </c>
      <c r="HA73">
        <v>0</v>
      </c>
      <c r="HB73">
        <v>0</v>
      </c>
      <c r="HC73">
        <f>GV73*GW73</f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">
      <c r="A74">
        <v>17</v>
      </c>
      <c r="B74">
        <v>0</v>
      </c>
      <c r="D74">
        <f>ROW(EtalonRes!A13)</f>
        <v>13</v>
      </c>
      <c r="E74" t="s">
        <v>3</v>
      </c>
      <c r="F74" t="s">
        <v>24</v>
      </c>
      <c r="G74" t="s">
        <v>25</v>
      </c>
      <c r="H74" t="s">
        <v>26</v>
      </c>
      <c r="I74">
        <f>ROUND((27+18)*0.1/100,9)</f>
        <v>4.4999999999999998E-2</v>
      </c>
      <c r="J74">
        <v>0</v>
      </c>
      <c r="K74">
        <f>ROUND((27+18)*0.1/100,9)</f>
        <v>4.4999999999999998E-2</v>
      </c>
      <c r="O74">
        <f>ROUND(CP74,2)</f>
        <v>91.07</v>
      </c>
      <c r="P74">
        <f>ROUND(CQ74*I74,2)</f>
        <v>0</v>
      </c>
      <c r="Q74">
        <f>ROUND(CR74*I74,2)</f>
        <v>0</v>
      </c>
      <c r="R74">
        <f>ROUND(CS74*I74,2)</f>
        <v>0</v>
      </c>
      <c r="S74">
        <f>ROUND(CT74*I74,2)</f>
        <v>91.07</v>
      </c>
      <c r="T74">
        <f>ROUND(CU74*I74,2)</f>
        <v>0</v>
      </c>
      <c r="U74">
        <f>CV74*I74</f>
        <v>0.16200000000000001</v>
      </c>
      <c r="V74">
        <f>CW74*I74</f>
        <v>0</v>
      </c>
      <c r="W74">
        <f>ROUND(CX74*I74,2)</f>
        <v>0</v>
      </c>
      <c r="X74">
        <f t="shared" si="70"/>
        <v>63.75</v>
      </c>
      <c r="Y74">
        <f t="shared" si="70"/>
        <v>9.11</v>
      </c>
      <c r="AA74">
        <v>-1</v>
      </c>
      <c r="AB74">
        <f>ROUND((AC74+AD74+AF74),6)</f>
        <v>2023.8</v>
      </c>
      <c r="AC74">
        <f>ROUND(((ES74*4)),6)</f>
        <v>0</v>
      </c>
      <c r="AD74">
        <f>ROUND(((((ET74*4))-((EU74*4)))+AE74),6)</f>
        <v>0</v>
      </c>
      <c r="AE74">
        <f t="shared" ref="AE74:AF76" si="72">ROUND(((EU74*4)),6)</f>
        <v>0</v>
      </c>
      <c r="AF74">
        <f t="shared" si="72"/>
        <v>2023.8</v>
      </c>
      <c r="AG74">
        <f>ROUND((AP74),6)</f>
        <v>0</v>
      </c>
      <c r="AH74">
        <f t="shared" ref="AH74:AI76" si="73">((EW74*4))</f>
        <v>3.6</v>
      </c>
      <c r="AI74">
        <f t="shared" si="73"/>
        <v>0</v>
      </c>
      <c r="AJ74">
        <f>(AS74)</f>
        <v>0</v>
      </c>
      <c r="AK74">
        <v>505.95</v>
      </c>
      <c r="AL74">
        <v>0</v>
      </c>
      <c r="AM74">
        <v>0</v>
      </c>
      <c r="AN74">
        <v>0</v>
      </c>
      <c r="AO74">
        <v>505.95</v>
      </c>
      <c r="AP74">
        <v>0</v>
      </c>
      <c r="AQ74">
        <v>0.9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27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91.07</v>
      </c>
      <c r="CQ74">
        <f>(AC74*BC74*AW74)</f>
        <v>0</v>
      </c>
      <c r="CR74">
        <f>(((((ET74*4))*BB74-((EU74*4))*BS74)+AE74*BS74)*AV74)</f>
        <v>0</v>
      </c>
      <c r="CS74">
        <f>(AE74*BS74*AV74)</f>
        <v>0</v>
      </c>
      <c r="CT74">
        <f>(AF74*BA74*AV74)</f>
        <v>2023.8</v>
      </c>
      <c r="CU74">
        <f>AG74</f>
        <v>0</v>
      </c>
      <c r="CV74">
        <f>(AH74*AV74)</f>
        <v>3.6</v>
      </c>
      <c r="CW74">
        <f t="shared" si="71"/>
        <v>0</v>
      </c>
      <c r="CX74">
        <f t="shared" si="71"/>
        <v>0</v>
      </c>
      <c r="CY74">
        <f>((S74*BZ74)/100)</f>
        <v>63.748999999999995</v>
      </c>
      <c r="CZ74">
        <f>((S74*CA74)/100)</f>
        <v>9.1069999999999993</v>
      </c>
      <c r="DC74" t="s">
        <v>3</v>
      </c>
      <c r="DD74" t="s">
        <v>28</v>
      </c>
      <c r="DE74" t="s">
        <v>28</v>
      </c>
      <c r="DF74" t="s">
        <v>28</v>
      </c>
      <c r="DG74" t="s">
        <v>28</v>
      </c>
      <c r="DH74" t="s">
        <v>3</v>
      </c>
      <c r="DI74" t="s">
        <v>28</v>
      </c>
      <c r="DJ74" t="s">
        <v>28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1003</v>
      </c>
      <c r="DV74" t="s">
        <v>26</v>
      </c>
      <c r="DW74" t="s">
        <v>26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1441815344</v>
      </c>
      <c r="EF74">
        <v>1</v>
      </c>
      <c r="EG74" t="s">
        <v>21</v>
      </c>
      <c r="EH74">
        <v>0</v>
      </c>
      <c r="EI74" t="s">
        <v>3</v>
      </c>
      <c r="EJ74">
        <v>4</v>
      </c>
      <c r="EK74">
        <v>0</v>
      </c>
      <c r="EL74" t="s">
        <v>22</v>
      </c>
      <c r="EM74" t="s">
        <v>23</v>
      </c>
      <c r="EO74" t="s">
        <v>3</v>
      </c>
      <c r="EQ74">
        <v>1024</v>
      </c>
      <c r="ER74">
        <v>505.95</v>
      </c>
      <c r="ES74">
        <v>0</v>
      </c>
      <c r="ET74">
        <v>0</v>
      </c>
      <c r="EU74">
        <v>0</v>
      </c>
      <c r="EV74">
        <v>505.95</v>
      </c>
      <c r="EW74">
        <v>0.9</v>
      </c>
      <c r="EX74">
        <v>0</v>
      </c>
      <c r="EY74">
        <v>0</v>
      </c>
      <c r="FQ74">
        <v>0</v>
      </c>
      <c r="FR74">
        <f>ROUND(IF(BI74=3,GM74,0),2)</f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-341239612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163.93</v>
      </c>
      <c r="GN74">
        <f>IF(OR(BI74=0,BI74=1),GM74-GX74,0)</f>
        <v>0</v>
      </c>
      <c r="GO74">
        <f>IF(BI74=2,GM74-GX74,0)</f>
        <v>0</v>
      </c>
      <c r="GP74">
        <f>IF(BI74=4,GM74-GX74,0)</f>
        <v>163.93</v>
      </c>
      <c r="GR74">
        <v>0</v>
      </c>
      <c r="GS74">
        <v>3</v>
      </c>
      <c r="GT74">
        <v>0</v>
      </c>
      <c r="GU74" t="s">
        <v>3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17</v>
      </c>
      <c r="B75">
        <v>0</v>
      </c>
      <c r="D75">
        <f>ROW(EtalonRes!A14)</f>
        <v>14</v>
      </c>
      <c r="E75" t="s">
        <v>3</v>
      </c>
      <c r="F75" t="s">
        <v>24</v>
      </c>
      <c r="G75" t="s">
        <v>25</v>
      </c>
      <c r="H75" t="s">
        <v>26</v>
      </c>
      <c r="I75">
        <f>ROUND((14.32)*0.1/100,9)</f>
        <v>1.4319999999999999E-2</v>
      </c>
      <c r="J75">
        <v>0</v>
      </c>
      <c r="K75">
        <f>ROUND((14.32)*0.1/100,9)</f>
        <v>1.4319999999999999E-2</v>
      </c>
      <c r="O75">
        <f>ROUND(CP75,2)</f>
        <v>28.98</v>
      </c>
      <c r="P75">
        <f>ROUND(CQ75*I75,2)</f>
        <v>0</v>
      </c>
      <c r="Q75">
        <f>ROUND(CR75*I75,2)</f>
        <v>0</v>
      </c>
      <c r="R75">
        <f>ROUND(CS75*I75,2)</f>
        <v>0</v>
      </c>
      <c r="S75">
        <f>ROUND(CT75*I75,2)</f>
        <v>28.98</v>
      </c>
      <c r="T75">
        <f>ROUND(CU75*I75,2)</f>
        <v>0</v>
      </c>
      <c r="U75">
        <f>CV75*I75</f>
        <v>5.1552000000000001E-2</v>
      </c>
      <c r="V75">
        <f>CW75*I75</f>
        <v>0</v>
      </c>
      <c r="W75">
        <f>ROUND(CX75*I75,2)</f>
        <v>0</v>
      </c>
      <c r="X75">
        <f t="shared" si="70"/>
        <v>20.29</v>
      </c>
      <c r="Y75">
        <f t="shared" si="70"/>
        <v>2.9</v>
      </c>
      <c r="AA75">
        <v>-1</v>
      </c>
      <c r="AB75">
        <f>ROUND((AC75+AD75+AF75),6)</f>
        <v>2023.8</v>
      </c>
      <c r="AC75">
        <f>ROUND(((ES75*4)),6)</f>
        <v>0</v>
      </c>
      <c r="AD75">
        <f>ROUND(((((ET75*4))-((EU75*4)))+AE75),6)</f>
        <v>0</v>
      </c>
      <c r="AE75">
        <f t="shared" si="72"/>
        <v>0</v>
      </c>
      <c r="AF75">
        <f t="shared" si="72"/>
        <v>2023.8</v>
      </c>
      <c r="AG75">
        <f>ROUND((AP75),6)</f>
        <v>0</v>
      </c>
      <c r="AH75">
        <f t="shared" si="73"/>
        <v>3.6</v>
      </c>
      <c r="AI75">
        <f t="shared" si="73"/>
        <v>0</v>
      </c>
      <c r="AJ75">
        <f>(AS75)</f>
        <v>0</v>
      </c>
      <c r="AK75">
        <v>505.95</v>
      </c>
      <c r="AL75">
        <v>0</v>
      </c>
      <c r="AM75">
        <v>0</v>
      </c>
      <c r="AN75">
        <v>0</v>
      </c>
      <c r="AO75">
        <v>505.95</v>
      </c>
      <c r="AP75">
        <v>0</v>
      </c>
      <c r="AQ75">
        <v>0.9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4</v>
      </c>
      <c r="BJ75" t="s">
        <v>27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(P75+Q75+S75)</f>
        <v>28.98</v>
      </c>
      <c r="CQ75">
        <f>(AC75*BC75*AW75)</f>
        <v>0</v>
      </c>
      <c r="CR75">
        <f>(((((ET75*4))*BB75-((EU75*4))*BS75)+AE75*BS75)*AV75)</f>
        <v>0</v>
      </c>
      <c r="CS75">
        <f>(AE75*BS75*AV75)</f>
        <v>0</v>
      </c>
      <c r="CT75">
        <f>(AF75*BA75*AV75)</f>
        <v>2023.8</v>
      </c>
      <c r="CU75">
        <f>AG75</f>
        <v>0</v>
      </c>
      <c r="CV75">
        <f>(AH75*AV75)</f>
        <v>3.6</v>
      </c>
      <c r="CW75">
        <f t="shared" si="71"/>
        <v>0</v>
      </c>
      <c r="CX75">
        <f t="shared" si="71"/>
        <v>0</v>
      </c>
      <c r="CY75">
        <f>((S75*BZ75)/100)</f>
        <v>20.286000000000001</v>
      </c>
      <c r="CZ75">
        <f>((S75*CA75)/100)</f>
        <v>2.8980000000000001</v>
      </c>
      <c r="DC75" t="s">
        <v>3</v>
      </c>
      <c r="DD75" t="s">
        <v>28</v>
      </c>
      <c r="DE75" t="s">
        <v>28</v>
      </c>
      <c r="DF75" t="s">
        <v>28</v>
      </c>
      <c r="DG75" t="s">
        <v>28</v>
      </c>
      <c r="DH75" t="s">
        <v>3</v>
      </c>
      <c r="DI75" t="s">
        <v>28</v>
      </c>
      <c r="DJ75" t="s">
        <v>28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1003</v>
      </c>
      <c r="DV75" t="s">
        <v>26</v>
      </c>
      <c r="DW75" t="s">
        <v>26</v>
      </c>
      <c r="DX75">
        <v>100</v>
      </c>
      <c r="DZ75" t="s">
        <v>3</v>
      </c>
      <c r="EA75" t="s">
        <v>3</v>
      </c>
      <c r="EB75" t="s">
        <v>3</v>
      </c>
      <c r="EC75" t="s">
        <v>3</v>
      </c>
      <c r="EE75">
        <v>1441815344</v>
      </c>
      <c r="EF75">
        <v>1</v>
      </c>
      <c r="EG75" t="s">
        <v>21</v>
      </c>
      <c r="EH75">
        <v>0</v>
      </c>
      <c r="EI75" t="s">
        <v>3</v>
      </c>
      <c r="EJ75">
        <v>4</v>
      </c>
      <c r="EK75">
        <v>0</v>
      </c>
      <c r="EL75" t="s">
        <v>22</v>
      </c>
      <c r="EM75" t="s">
        <v>23</v>
      </c>
      <c r="EO75" t="s">
        <v>3</v>
      </c>
      <c r="EQ75">
        <v>1024</v>
      </c>
      <c r="ER75">
        <v>505.95</v>
      </c>
      <c r="ES75">
        <v>0</v>
      </c>
      <c r="ET75">
        <v>0</v>
      </c>
      <c r="EU75">
        <v>0</v>
      </c>
      <c r="EV75">
        <v>505.95</v>
      </c>
      <c r="EW75">
        <v>0.9</v>
      </c>
      <c r="EX75">
        <v>0</v>
      </c>
      <c r="EY75">
        <v>0</v>
      </c>
      <c r="FQ75">
        <v>0</v>
      </c>
      <c r="FR75">
        <f>ROUND(IF(BI75=3,GM75,0),2)</f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-341239612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>ROUND(IF(AND(BH75=3,BI75=3,FS75&lt;&gt;0),P75,0),2)</f>
        <v>0</v>
      </c>
      <c r="GM75">
        <f>ROUND(O75+X75+Y75+GK75,2)+GX75</f>
        <v>52.17</v>
      </c>
      <c r="GN75">
        <f>IF(OR(BI75=0,BI75=1),GM75-GX75,0)</f>
        <v>0</v>
      </c>
      <c r="GO75">
        <f>IF(BI75=2,GM75-GX75,0)</f>
        <v>0</v>
      </c>
      <c r="GP75">
        <f>IF(BI75=4,GM75-GX75,0)</f>
        <v>52.17</v>
      </c>
      <c r="GR75">
        <v>0</v>
      </c>
      <c r="GS75">
        <v>3</v>
      </c>
      <c r="GT75">
        <v>0</v>
      </c>
      <c r="GU75" t="s">
        <v>3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">
      <c r="A76">
        <v>17</v>
      </c>
      <c r="B76">
        <v>0</v>
      </c>
      <c r="D76">
        <f>ROW(EtalonRes!A15)</f>
        <v>15</v>
      </c>
      <c r="E76" t="s">
        <v>3</v>
      </c>
      <c r="F76" t="s">
        <v>101</v>
      </c>
      <c r="G76" t="s">
        <v>102</v>
      </c>
      <c r="H76" t="s">
        <v>18</v>
      </c>
      <c r="I76">
        <v>2</v>
      </c>
      <c r="J76">
        <v>0</v>
      </c>
      <c r="K76">
        <v>2</v>
      </c>
      <c r="O76">
        <f>ROUND(CP76,2)</f>
        <v>642.16</v>
      </c>
      <c r="P76">
        <f>ROUND(CQ76*I76,2)</f>
        <v>0</v>
      </c>
      <c r="Q76">
        <f>ROUND(CR76*I76,2)</f>
        <v>0</v>
      </c>
      <c r="R76">
        <f>ROUND(CS76*I76,2)</f>
        <v>0</v>
      </c>
      <c r="S76">
        <f>ROUND(CT76*I76,2)</f>
        <v>642.16</v>
      </c>
      <c r="T76">
        <f>ROUND(CU76*I76,2)</f>
        <v>0</v>
      </c>
      <c r="U76">
        <f>CV76*I76</f>
        <v>1.04</v>
      </c>
      <c r="V76">
        <f>CW76*I76</f>
        <v>0</v>
      </c>
      <c r="W76">
        <f>ROUND(CX76*I76,2)</f>
        <v>0</v>
      </c>
      <c r="X76">
        <f t="shared" si="70"/>
        <v>449.51</v>
      </c>
      <c r="Y76">
        <f t="shared" si="70"/>
        <v>64.22</v>
      </c>
      <c r="AA76">
        <v>-1</v>
      </c>
      <c r="AB76">
        <f>ROUND((AC76+AD76+AF76),6)</f>
        <v>321.08</v>
      </c>
      <c r="AC76">
        <f>ROUND(((ES76*4)),6)</f>
        <v>0</v>
      </c>
      <c r="AD76">
        <f>ROUND(((((ET76*4))-((EU76*4)))+AE76),6)</f>
        <v>0</v>
      </c>
      <c r="AE76">
        <f t="shared" si="72"/>
        <v>0</v>
      </c>
      <c r="AF76">
        <f t="shared" si="72"/>
        <v>321.08</v>
      </c>
      <c r="AG76">
        <f>ROUND((AP76),6)</f>
        <v>0</v>
      </c>
      <c r="AH76">
        <f t="shared" si="73"/>
        <v>0.52</v>
      </c>
      <c r="AI76">
        <f t="shared" si="73"/>
        <v>0</v>
      </c>
      <c r="AJ76">
        <f>(AS76)</f>
        <v>0</v>
      </c>
      <c r="AK76">
        <v>80.27</v>
      </c>
      <c r="AL76">
        <v>0</v>
      </c>
      <c r="AM76">
        <v>0</v>
      </c>
      <c r="AN76">
        <v>0</v>
      </c>
      <c r="AO76">
        <v>80.27</v>
      </c>
      <c r="AP76">
        <v>0</v>
      </c>
      <c r="AQ76">
        <v>0.13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4</v>
      </c>
      <c r="BJ76" t="s">
        <v>103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>(P76+Q76+S76)</f>
        <v>642.16</v>
      </c>
      <c r="CQ76">
        <f>(AC76*BC76*AW76)</f>
        <v>0</v>
      </c>
      <c r="CR76">
        <f>(((((ET76*4))*BB76-((EU76*4))*BS76)+AE76*BS76)*AV76)</f>
        <v>0</v>
      </c>
      <c r="CS76">
        <f>(AE76*BS76*AV76)</f>
        <v>0</v>
      </c>
      <c r="CT76">
        <f>(AF76*BA76*AV76)</f>
        <v>321.08</v>
      </c>
      <c r="CU76">
        <f>AG76</f>
        <v>0</v>
      </c>
      <c r="CV76">
        <f>(AH76*AV76)</f>
        <v>0.52</v>
      </c>
      <c r="CW76">
        <f t="shared" si="71"/>
        <v>0</v>
      </c>
      <c r="CX76">
        <f t="shared" si="71"/>
        <v>0</v>
      </c>
      <c r="CY76">
        <f>((S76*BZ76)/100)</f>
        <v>449.51199999999994</v>
      </c>
      <c r="CZ76">
        <f>((S76*CA76)/100)</f>
        <v>64.215999999999994</v>
      </c>
      <c r="DC76" t="s">
        <v>3</v>
      </c>
      <c r="DD76" t="s">
        <v>104</v>
      </c>
      <c r="DE76" t="s">
        <v>104</v>
      </c>
      <c r="DF76" t="s">
        <v>104</v>
      </c>
      <c r="DG76" t="s">
        <v>104</v>
      </c>
      <c r="DH76" t="s">
        <v>3</v>
      </c>
      <c r="DI76" t="s">
        <v>104</v>
      </c>
      <c r="DJ76" t="s">
        <v>104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16987630</v>
      </c>
      <c r="DV76" t="s">
        <v>18</v>
      </c>
      <c r="DW76" t="s">
        <v>18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1441815344</v>
      </c>
      <c r="EF76">
        <v>1</v>
      </c>
      <c r="EG76" t="s">
        <v>21</v>
      </c>
      <c r="EH76">
        <v>0</v>
      </c>
      <c r="EI76" t="s">
        <v>3</v>
      </c>
      <c r="EJ76">
        <v>4</v>
      </c>
      <c r="EK76">
        <v>0</v>
      </c>
      <c r="EL76" t="s">
        <v>22</v>
      </c>
      <c r="EM76" t="s">
        <v>23</v>
      </c>
      <c r="EO76" t="s">
        <v>3</v>
      </c>
      <c r="EQ76">
        <v>1024</v>
      </c>
      <c r="ER76">
        <v>80.27</v>
      </c>
      <c r="ES76">
        <v>0</v>
      </c>
      <c r="ET76">
        <v>0</v>
      </c>
      <c r="EU76">
        <v>0</v>
      </c>
      <c r="EV76">
        <v>80.27</v>
      </c>
      <c r="EW76">
        <v>0.13</v>
      </c>
      <c r="EX76">
        <v>0</v>
      </c>
      <c r="EY76">
        <v>0</v>
      </c>
      <c r="FQ76">
        <v>0</v>
      </c>
      <c r="FR76">
        <f>ROUND(IF(BI76=3,GM76,0),2)</f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1384570016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>ROUND(IF(AND(BH76=3,BI76=3,FS76&lt;&gt;0),P76,0),2)</f>
        <v>0</v>
      </c>
      <c r="GM76">
        <f>ROUND(O76+X76+Y76+GK76,2)+GX76</f>
        <v>1155.8900000000001</v>
      </c>
      <c r="GN76">
        <f>IF(OR(BI76=0,BI76=1),GM76-GX76,0)</f>
        <v>0</v>
      </c>
      <c r="GO76">
        <f>IF(BI76=2,GM76-GX76,0)</f>
        <v>0</v>
      </c>
      <c r="GP76">
        <f>IF(BI76=4,GM76-GX76,0)</f>
        <v>1155.8900000000001</v>
      </c>
      <c r="GR76">
        <v>0</v>
      </c>
      <c r="GS76">
        <v>3</v>
      </c>
      <c r="GT76">
        <v>0</v>
      </c>
      <c r="GU76" t="s">
        <v>3</v>
      </c>
      <c r="GV76">
        <f>ROUND((GT76),6)</f>
        <v>0</v>
      </c>
      <c r="GW76">
        <v>1</v>
      </c>
      <c r="GX76">
        <f>ROUND(HC76*I76,2)</f>
        <v>0</v>
      </c>
      <c r="HA76">
        <v>0</v>
      </c>
      <c r="HB76">
        <v>0</v>
      </c>
      <c r="HC76">
        <f>GV76*GW76</f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8" spans="1:245" x14ac:dyDescent="0.2">
      <c r="A78" s="2">
        <v>51</v>
      </c>
      <c r="B78" s="2">
        <f>B69</f>
        <v>0</v>
      </c>
      <c r="C78" s="2">
        <f>A69</f>
        <v>5</v>
      </c>
      <c r="D78" s="2">
        <f>ROW(A69)</f>
        <v>69</v>
      </c>
      <c r="E78" s="2"/>
      <c r="F78" s="2" t="str">
        <f>IF(F69&lt;&gt;"",F69,"")</f>
        <v>Новый подраздел</v>
      </c>
      <c r="G78" s="2" t="str">
        <f>IF(G69&lt;&gt;"",G69,"")</f>
        <v>Канализация К1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74">ROUND(AB78,2)</f>
        <v>0</v>
      </c>
      <c r="P78" s="2">
        <f t="shared" si="74"/>
        <v>0</v>
      </c>
      <c r="Q78" s="2">
        <f t="shared" si="74"/>
        <v>0</v>
      </c>
      <c r="R78" s="2">
        <f t="shared" si="74"/>
        <v>0</v>
      </c>
      <c r="S78" s="2">
        <f t="shared" si="74"/>
        <v>0</v>
      </c>
      <c r="T78" s="2">
        <f t="shared" si="74"/>
        <v>0</v>
      </c>
      <c r="U78" s="2">
        <f>AH78</f>
        <v>0</v>
      </c>
      <c r="V78" s="2">
        <f>AI78</f>
        <v>0</v>
      </c>
      <c r="W78" s="2">
        <f>ROUND(AJ78,2)</f>
        <v>0</v>
      </c>
      <c r="X78" s="2">
        <f>ROUND(AK78,2)</f>
        <v>0</v>
      </c>
      <c r="Y78" s="2">
        <f>ROUND(AL78,2)</f>
        <v>0</v>
      </c>
      <c r="Z78" s="2"/>
      <c r="AA78" s="2"/>
      <c r="AB78" s="2">
        <f>ROUND(SUMIF(AA73:AA76,"=1473080740",O73:O76),2)</f>
        <v>0</v>
      </c>
      <c r="AC78" s="2">
        <f>ROUND(SUMIF(AA73:AA76,"=1473080740",P73:P76),2)</f>
        <v>0</v>
      </c>
      <c r="AD78" s="2">
        <f>ROUND(SUMIF(AA73:AA76,"=1473080740",Q73:Q76),2)</f>
        <v>0</v>
      </c>
      <c r="AE78" s="2">
        <f>ROUND(SUMIF(AA73:AA76,"=1473080740",R73:R76),2)</f>
        <v>0</v>
      </c>
      <c r="AF78" s="2">
        <f>ROUND(SUMIF(AA73:AA76,"=1473080740",S73:S76),2)</f>
        <v>0</v>
      </c>
      <c r="AG78" s="2">
        <f>ROUND(SUMIF(AA73:AA76,"=1473080740",T73:T76),2)</f>
        <v>0</v>
      </c>
      <c r="AH78" s="2">
        <f>SUMIF(AA73:AA76,"=1473080740",U73:U76)</f>
        <v>0</v>
      </c>
      <c r="AI78" s="2">
        <f>SUMIF(AA73:AA76,"=1473080740",V73:V76)</f>
        <v>0</v>
      </c>
      <c r="AJ78" s="2">
        <f>ROUND(SUMIF(AA73:AA76,"=1473080740",W73:W76),2)</f>
        <v>0</v>
      </c>
      <c r="AK78" s="2">
        <f>ROUND(SUMIF(AA73:AA76,"=1473080740",X73:X76),2)</f>
        <v>0</v>
      </c>
      <c r="AL78" s="2">
        <f>ROUND(SUMIF(AA73:AA76,"=1473080740",Y73:Y76),2)</f>
        <v>0</v>
      </c>
      <c r="AM78" s="2"/>
      <c r="AN78" s="2"/>
      <c r="AO78" s="2">
        <f t="shared" ref="AO78:BD78" si="75">ROUND(BX78,2)</f>
        <v>0</v>
      </c>
      <c r="AP78" s="2">
        <f t="shared" si="75"/>
        <v>0</v>
      </c>
      <c r="AQ78" s="2">
        <f t="shared" si="75"/>
        <v>0</v>
      </c>
      <c r="AR78" s="2">
        <f t="shared" si="75"/>
        <v>0</v>
      </c>
      <c r="AS78" s="2">
        <f t="shared" si="75"/>
        <v>0</v>
      </c>
      <c r="AT78" s="2">
        <f t="shared" si="75"/>
        <v>0</v>
      </c>
      <c r="AU78" s="2">
        <f t="shared" si="75"/>
        <v>0</v>
      </c>
      <c r="AV78" s="2">
        <f t="shared" si="75"/>
        <v>0</v>
      </c>
      <c r="AW78" s="2">
        <f t="shared" si="75"/>
        <v>0</v>
      </c>
      <c r="AX78" s="2">
        <f t="shared" si="75"/>
        <v>0</v>
      </c>
      <c r="AY78" s="2">
        <f t="shared" si="75"/>
        <v>0</v>
      </c>
      <c r="AZ78" s="2">
        <f t="shared" si="75"/>
        <v>0</v>
      </c>
      <c r="BA78" s="2">
        <f t="shared" si="75"/>
        <v>0</v>
      </c>
      <c r="BB78" s="2">
        <f t="shared" si="75"/>
        <v>0</v>
      </c>
      <c r="BC78" s="2">
        <f t="shared" si="75"/>
        <v>0</v>
      </c>
      <c r="BD78" s="2">
        <f t="shared" si="75"/>
        <v>0</v>
      </c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>
        <f>ROUND(SUMIF(AA73:AA76,"=1473080740",FQ73:FQ76),2)</f>
        <v>0</v>
      </c>
      <c r="BY78" s="2">
        <f>ROUND(SUMIF(AA73:AA76,"=1473080740",FR73:FR76),2)</f>
        <v>0</v>
      </c>
      <c r="BZ78" s="2">
        <f>ROUND(SUMIF(AA73:AA76,"=1473080740",GL73:GL76),2)</f>
        <v>0</v>
      </c>
      <c r="CA78" s="2">
        <f>ROUND(SUMIF(AA73:AA76,"=1473080740",GM73:GM76),2)</f>
        <v>0</v>
      </c>
      <c r="CB78" s="2">
        <f>ROUND(SUMIF(AA73:AA76,"=1473080740",GN73:GN76),2)</f>
        <v>0</v>
      </c>
      <c r="CC78" s="2">
        <f>ROUND(SUMIF(AA73:AA76,"=1473080740",GO73:GO76),2)</f>
        <v>0</v>
      </c>
      <c r="CD78" s="2">
        <f>ROUND(SUMIF(AA73:AA76,"=1473080740",GP73:GP76),2)</f>
        <v>0</v>
      </c>
      <c r="CE78" s="2">
        <f>AC78-BX78</f>
        <v>0</v>
      </c>
      <c r="CF78" s="2">
        <f>AC78-BY78</f>
        <v>0</v>
      </c>
      <c r="CG78" s="2">
        <f>BX78-BZ78</f>
        <v>0</v>
      </c>
      <c r="CH78" s="2">
        <f>AC78-BX78-BY78+BZ78</f>
        <v>0</v>
      </c>
      <c r="CI78" s="2">
        <f>BY78-BZ78</f>
        <v>0</v>
      </c>
      <c r="CJ78" s="2">
        <f>ROUND(SUMIF(AA73:AA76,"=1473080740",GX73:GX76),2)</f>
        <v>0</v>
      </c>
      <c r="CK78" s="2">
        <f>ROUND(SUMIF(AA73:AA76,"=1473080740",GY73:GY76),2)</f>
        <v>0</v>
      </c>
      <c r="CL78" s="2">
        <f>ROUND(SUMIF(AA73:AA76,"=1473080740",GZ73:GZ76),2)</f>
        <v>0</v>
      </c>
      <c r="CM78" s="2">
        <f>ROUND(SUMIF(AA73:AA76,"=1473080740",HD73:HD76),2)</f>
        <v>0</v>
      </c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201</v>
      </c>
      <c r="F80" s="4">
        <f>ROUND(Source!O78,O80)</f>
        <v>0</v>
      </c>
      <c r="G80" s="4" t="s">
        <v>43</v>
      </c>
      <c r="H80" s="4" t="s">
        <v>44</v>
      </c>
      <c r="I80" s="4"/>
      <c r="J80" s="4"/>
      <c r="K80" s="4">
        <v>201</v>
      </c>
      <c r="L80" s="4">
        <v>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202</v>
      </c>
      <c r="F81" s="4">
        <f>ROUND(Source!P78,O81)</f>
        <v>0</v>
      </c>
      <c r="G81" s="4" t="s">
        <v>45</v>
      </c>
      <c r="H81" s="4" t="s">
        <v>46</v>
      </c>
      <c r="I81" s="4"/>
      <c r="J81" s="4"/>
      <c r="K81" s="4">
        <v>202</v>
      </c>
      <c r="L81" s="4">
        <v>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0</v>
      </c>
      <c r="G82" s="4" t="s">
        <v>47</v>
      </c>
      <c r="H82" s="4" t="s">
        <v>48</v>
      </c>
      <c r="I82" s="4"/>
      <c r="J82" s="4"/>
      <c r="K82" s="4">
        <v>222</v>
      </c>
      <c r="L82" s="4">
        <v>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225</v>
      </c>
      <c r="F83" s="4">
        <f>ROUND(Source!AV78,O83)</f>
        <v>0</v>
      </c>
      <c r="G83" s="4" t="s">
        <v>49</v>
      </c>
      <c r="H83" s="4" t="s">
        <v>50</v>
      </c>
      <c r="I83" s="4"/>
      <c r="J83" s="4"/>
      <c r="K83" s="4">
        <v>225</v>
      </c>
      <c r="L83" s="4">
        <v>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226</v>
      </c>
      <c r="F84" s="4">
        <f>ROUND(Source!AW78,O84)</f>
        <v>0</v>
      </c>
      <c r="G84" s="4" t="s">
        <v>51</v>
      </c>
      <c r="H84" s="4" t="s">
        <v>52</v>
      </c>
      <c r="I84" s="4"/>
      <c r="J84" s="4"/>
      <c r="K84" s="4">
        <v>226</v>
      </c>
      <c r="L84" s="4">
        <v>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227</v>
      </c>
      <c r="F85" s="4">
        <f>ROUND(Source!AX78,O85)</f>
        <v>0</v>
      </c>
      <c r="G85" s="4" t="s">
        <v>53</v>
      </c>
      <c r="H85" s="4" t="s">
        <v>54</v>
      </c>
      <c r="I85" s="4"/>
      <c r="J85" s="4"/>
      <c r="K85" s="4">
        <v>227</v>
      </c>
      <c r="L85" s="4">
        <v>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228</v>
      </c>
      <c r="F86" s="4">
        <f>ROUND(Source!AY78,O86)</f>
        <v>0</v>
      </c>
      <c r="G86" s="4" t="s">
        <v>55</v>
      </c>
      <c r="H86" s="4" t="s">
        <v>56</v>
      </c>
      <c r="I86" s="4"/>
      <c r="J86" s="4"/>
      <c r="K86" s="4">
        <v>228</v>
      </c>
      <c r="L86" s="4">
        <v>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57</v>
      </c>
      <c r="H87" s="4" t="s">
        <v>58</v>
      </c>
      <c r="I87" s="4"/>
      <c r="J87" s="4"/>
      <c r="K87" s="4">
        <v>216</v>
      </c>
      <c r="L87" s="4">
        <v>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59</v>
      </c>
      <c r="H88" s="4" t="s">
        <v>60</v>
      </c>
      <c r="I88" s="4"/>
      <c r="J88" s="4"/>
      <c r="K88" s="4">
        <v>223</v>
      </c>
      <c r="L88" s="4">
        <v>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61</v>
      </c>
      <c r="H89" s="4" t="s">
        <v>62</v>
      </c>
      <c r="I89" s="4"/>
      <c r="J89" s="4"/>
      <c r="K89" s="4">
        <v>229</v>
      </c>
      <c r="L89" s="4">
        <v>10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203</v>
      </c>
      <c r="F90" s="4">
        <f>ROUND(Source!Q78,O90)</f>
        <v>0</v>
      </c>
      <c r="G90" s="4" t="s">
        <v>63</v>
      </c>
      <c r="H90" s="4" t="s">
        <v>64</v>
      </c>
      <c r="I90" s="4"/>
      <c r="J90" s="4"/>
      <c r="K90" s="4">
        <v>203</v>
      </c>
      <c r="L90" s="4">
        <v>11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65</v>
      </c>
      <c r="H91" s="4" t="s">
        <v>66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204</v>
      </c>
      <c r="F92" s="4">
        <f>ROUND(Source!R78,O92)</f>
        <v>0</v>
      </c>
      <c r="G92" s="4" t="s">
        <v>67</v>
      </c>
      <c r="H92" s="4" t="s">
        <v>68</v>
      </c>
      <c r="I92" s="4"/>
      <c r="J92" s="4"/>
      <c r="K92" s="4">
        <v>204</v>
      </c>
      <c r="L92" s="4">
        <v>13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205</v>
      </c>
      <c r="F93" s="4">
        <f>ROUND(Source!S78,O93)</f>
        <v>0</v>
      </c>
      <c r="G93" s="4" t="s">
        <v>69</v>
      </c>
      <c r="H93" s="4" t="s">
        <v>70</v>
      </c>
      <c r="I93" s="4"/>
      <c r="J93" s="4"/>
      <c r="K93" s="4">
        <v>205</v>
      </c>
      <c r="L93" s="4">
        <v>14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71</v>
      </c>
      <c r="H94" s="4" t="s">
        <v>72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214</v>
      </c>
      <c r="F95" s="4">
        <f>ROUND(Source!AS78,O95)</f>
        <v>0</v>
      </c>
      <c r="G95" s="4" t="s">
        <v>73</v>
      </c>
      <c r="H95" s="4" t="s">
        <v>74</v>
      </c>
      <c r="I95" s="4"/>
      <c r="J95" s="4"/>
      <c r="K95" s="4">
        <v>214</v>
      </c>
      <c r="L95" s="4">
        <v>16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0</v>
      </c>
      <c r="G96" s="4" t="s">
        <v>75</v>
      </c>
      <c r="H96" s="4" t="s">
        <v>76</v>
      </c>
      <c r="I96" s="4"/>
      <c r="J96" s="4"/>
      <c r="K96" s="4">
        <v>215</v>
      </c>
      <c r="L96" s="4">
        <v>17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0</v>
      </c>
      <c r="G97" s="4" t="s">
        <v>77</v>
      </c>
      <c r="H97" s="4" t="s">
        <v>78</v>
      </c>
      <c r="I97" s="4"/>
      <c r="J97" s="4"/>
      <c r="K97" s="4">
        <v>217</v>
      </c>
      <c r="L97" s="4">
        <v>18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79</v>
      </c>
      <c r="H98" s="4" t="s">
        <v>80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81</v>
      </c>
      <c r="H99" s="4" t="s">
        <v>82</v>
      </c>
      <c r="I99" s="4"/>
      <c r="J99" s="4"/>
      <c r="K99" s="4">
        <v>206</v>
      </c>
      <c r="L99" s="4">
        <v>20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207</v>
      </c>
      <c r="F100" s="4">
        <f>Source!U78</f>
        <v>0</v>
      </c>
      <c r="G100" s="4" t="s">
        <v>83</v>
      </c>
      <c r="H100" s="4" t="s">
        <v>84</v>
      </c>
      <c r="I100" s="4"/>
      <c r="J100" s="4"/>
      <c r="K100" s="4">
        <v>207</v>
      </c>
      <c r="L100" s="4">
        <v>21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208</v>
      </c>
      <c r="F101" s="4">
        <f>Source!V78</f>
        <v>0</v>
      </c>
      <c r="G101" s="4" t="s">
        <v>85</v>
      </c>
      <c r="H101" s="4" t="s">
        <v>86</v>
      </c>
      <c r="I101" s="4"/>
      <c r="J101" s="4"/>
      <c r="K101" s="4">
        <v>208</v>
      </c>
      <c r="L101" s="4">
        <v>22</v>
      </c>
      <c r="M101" s="4">
        <v>3</v>
      </c>
      <c r="N101" s="4" t="s">
        <v>3</v>
      </c>
      <c r="O101" s="4">
        <v>-1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87</v>
      </c>
      <c r="H102" s="4" t="s">
        <v>88</v>
      </c>
      <c r="I102" s="4"/>
      <c r="J102" s="4"/>
      <c r="K102" s="4">
        <v>209</v>
      </c>
      <c r="L102" s="4">
        <v>23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233</v>
      </c>
      <c r="F103" s="4">
        <f>ROUND(Source!BD78,O103)</f>
        <v>0</v>
      </c>
      <c r="G103" s="4" t="s">
        <v>89</v>
      </c>
      <c r="H103" s="4" t="s">
        <v>90</v>
      </c>
      <c r="I103" s="4"/>
      <c r="J103" s="4"/>
      <c r="K103" s="4">
        <v>233</v>
      </c>
      <c r="L103" s="4">
        <v>24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210</v>
      </c>
      <c r="F104" s="4">
        <f>ROUND(Source!X78,O104)</f>
        <v>0</v>
      </c>
      <c r="G104" s="4" t="s">
        <v>91</v>
      </c>
      <c r="H104" s="4" t="s">
        <v>92</v>
      </c>
      <c r="I104" s="4"/>
      <c r="J104" s="4"/>
      <c r="K104" s="4">
        <v>210</v>
      </c>
      <c r="L104" s="4">
        <v>25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211</v>
      </c>
      <c r="F105" s="4">
        <f>ROUND(Source!Y78,O105)</f>
        <v>0</v>
      </c>
      <c r="G105" s="4" t="s">
        <v>93</v>
      </c>
      <c r="H105" s="4" t="s">
        <v>94</v>
      </c>
      <c r="I105" s="4"/>
      <c r="J105" s="4"/>
      <c r="K105" s="4">
        <v>211</v>
      </c>
      <c r="L105" s="4">
        <v>26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45" x14ac:dyDescent="0.2">
      <c r="A106" s="4">
        <v>50</v>
      </c>
      <c r="B106" s="4">
        <v>0</v>
      </c>
      <c r="C106" s="4">
        <v>0</v>
      </c>
      <c r="D106" s="4">
        <v>1</v>
      </c>
      <c r="E106" s="4">
        <v>224</v>
      </c>
      <c r="F106" s="4">
        <f>ROUND(Source!AR78,O106)</f>
        <v>0</v>
      </c>
      <c r="G106" s="4" t="s">
        <v>95</v>
      </c>
      <c r="H106" s="4" t="s">
        <v>96</v>
      </c>
      <c r="I106" s="4"/>
      <c r="J106" s="4"/>
      <c r="K106" s="4">
        <v>224</v>
      </c>
      <c r="L106" s="4">
        <v>27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8" spans="1:245" x14ac:dyDescent="0.2">
      <c r="A108" s="1">
        <v>5</v>
      </c>
      <c r="B108" s="1">
        <v>1</v>
      </c>
      <c r="C108" s="1"/>
      <c r="D108" s="1">
        <f>ROW(A124)</f>
        <v>124</v>
      </c>
      <c r="E108" s="1"/>
      <c r="F108" s="1" t="s">
        <v>14</v>
      </c>
      <c r="G108" s="1" t="s">
        <v>105</v>
      </c>
      <c r="H108" s="1" t="s">
        <v>3</v>
      </c>
      <c r="I108" s="1">
        <v>0</v>
      </c>
      <c r="J108" s="1"/>
      <c r="K108" s="1">
        <v>-1</v>
      </c>
      <c r="L108" s="1"/>
      <c r="M108" s="1" t="s">
        <v>3</v>
      </c>
      <c r="N108" s="1"/>
      <c r="O108" s="1"/>
      <c r="P108" s="1"/>
      <c r="Q108" s="1"/>
      <c r="R108" s="1"/>
      <c r="S108" s="1">
        <v>0</v>
      </c>
      <c r="T108" s="1"/>
      <c r="U108" s="1" t="s">
        <v>3</v>
      </c>
      <c r="V108" s="1">
        <v>0</v>
      </c>
      <c r="W108" s="1"/>
      <c r="X108" s="1"/>
      <c r="Y108" s="1"/>
      <c r="Z108" s="1"/>
      <c r="AA108" s="1"/>
      <c r="AB108" s="1" t="s">
        <v>3</v>
      </c>
      <c r="AC108" s="1" t="s">
        <v>3</v>
      </c>
      <c r="AD108" s="1" t="s">
        <v>3</v>
      </c>
      <c r="AE108" s="1" t="s">
        <v>3</v>
      </c>
      <c r="AF108" s="1" t="s">
        <v>3</v>
      </c>
      <c r="AG108" s="1" t="s">
        <v>3</v>
      </c>
      <c r="AH108" s="1"/>
      <c r="AI108" s="1"/>
      <c r="AJ108" s="1"/>
      <c r="AK108" s="1"/>
      <c r="AL108" s="1"/>
      <c r="AM108" s="1"/>
      <c r="AN108" s="1"/>
      <c r="AO108" s="1"/>
      <c r="AP108" s="1" t="s">
        <v>3</v>
      </c>
      <c r="AQ108" s="1" t="s">
        <v>3</v>
      </c>
      <c r="AR108" s="1" t="s">
        <v>3</v>
      </c>
      <c r="AS108" s="1"/>
      <c r="AT108" s="1"/>
      <c r="AU108" s="1"/>
      <c r="AV108" s="1"/>
      <c r="AW108" s="1"/>
      <c r="AX108" s="1"/>
      <c r="AY108" s="1"/>
      <c r="AZ108" s="1" t="s">
        <v>3</v>
      </c>
      <c r="BA108" s="1"/>
      <c r="BB108" s="1" t="s">
        <v>3</v>
      </c>
      <c r="BC108" s="1" t="s">
        <v>3</v>
      </c>
      <c r="BD108" s="1" t="s">
        <v>3</v>
      </c>
      <c r="BE108" s="1" t="s">
        <v>3</v>
      </c>
      <c r="BF108" s="1" t="s">
        <v>3</v>
      </c>
      <c r="BG108" s="1" t="s">
        <v>3</v>
      </c>
      <c r="BH108" s="1" t="s">
        <v>3</v>
      </c>
      <c r="BI108" s="1" t="s">
        <v>3</v>
      </c>
      <c r="BJ108" s="1" t="s">
        <v>3</v>
      </c>
      <c r="BK108" s="1" t="s">
        <v>3</v>
      </c>
      <c r="BL108" s="1" t="s">
        <v>3</v>
      </c>
      <c r="BM108" s="1" t="s">
        <v>3</v>
      </c>
      <c r="BN108" s="1" t="s">
        <v>3</v>
      </c>
      <c r="BO108" s="1" t="s">
        <v>3</v>
      </c>
      <c r="BP108" s="1" t="s">
        <v>3</v>
      </c>
      <c r="BQ108" s="1"/>
      <c r="BR108" s="1"/>
      <c r="BS108" s="1"/>
      <c r="BT108" s="1"/>
      <c r="BU108" s="1"/>
      <c r="BV108" s="1"/>
      <c r="BW108" s="1"/>
      <c r="BX108" s="1">
        <v>0</v>
      </c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>
        <v>0</v>
      </c>
    </row>
    <row r="110" spans="1:245" x14ac:dyDescent="0.2">
      <c r="A110" s="2">
        <v>52</v>
      </c>
      <c r="B110" s="2">
        <f t="shared" ref="B110:G110" si="76">B124</f>
        <v>1</v>
      </c>
      <c r="C110" s="2">
        <f t="shared" si="76"/>
        <v>5</v>
      </c>
      <c r="D110" s="2">
        <f t="shared" si="76"/>
        <v>108</v>
      </c>
      <c r="E110" s="2">
        <f t="shared" si="76"/>
        <v>0</v>
      </c>
      <c r="F110" s="2" t="str">
        <f t="shared" si="76"/>
        <v>Новый подраздел</v>
      </c>
      <c r="G110" s="2" t="str">
        <f t="shared" si="76"/>
        <v>Сантехприборы и оборудование</v>
      </c>
      <c r="H110" s="2"/>
      <c r="I110" s="2"/>
      <c r="J110" s="2"/>
      <c r="K110" s="2"/>
      <c r="L110" s="2"/>
      <c r="M110" s="2"/>
      <c r="N110" s="2"/>
      <c r="O110" s="2">
        <f t="shared" ref="O110:AT110" si="77">O124</f>
        <v>26056.799999999999</v>
      </c>
      <c r="P110" s="2">
        <f t="shared" si="77"/>
        <v>279.99</v>
      </c>
      <c r="Q110" s="2">
        <f t="shared" si="77"/>
        <v>951.14</v>
      </c>
      <c r="R110" s="2">
        <f t="shared" si="77"/>
        <v>594.99</v>
      </c>
      <c r="S110" s="2">
        <f t="shared" si="77"/>
        <v>24825.67</v>
      </c>
      <c r="T110" s="2">
        <f t="shared" si="77"/>
        <v>0</v>
      </c>
      <c r="U110" s="2">
        <f t="shared" si="77"/>
        <v>47.982899999999994</v>
      </c>
      <c r="V110" s="2">
        <f t="shared" si="77"/>
        <v>0</v>
      </c>
      <c r="W110" s="2">
        <f t="shared" si="77"/>
        <v>0</v>
      </c>
      <c r="X110" s="2">
        <f t="shared" si="77"/>
        <v>17377.97</v>
      </c>
      <c r="Y110" s="2">
        <f t="shared" si="77"/>
        <v>2482.56</v>
      </c>
      <c r="Z110" s="2">
        <f t="shared" si="77"/>
        <v>0</v>
      </c>
      <c r="AA110" s="2">
        <f t="shared" si="77"/>
        <v>0</v>
      </c>
      <c r="AB110" s="2">
        <f t="shared" si="77"/>
        <v>26056.799999999999</v>
      </c>
      <c r="AC110" s="2">
        <f t="shared" si="77"/>
        <v>279.99</v>
      </c>
      <c r="AD110" s="2">
        <f t="shared" si="77"/>
        <v>951.14</v>
      </c>
      <c r="AE110" s="2">
        <f t="shared" si="77"/>
        <v>594.99</v>
      </c>
      <c r="AF110" s="2">
        <f t="shared" si="77"/>
        <v>24825.67</v>
      </c>
      <c r="AG110" s="2">
        <f t="shared" si="77"/>
        <v>0</v>
      </c>
      <c r="AH110" s="2">
        <f t="shared" si="77"/>
        <v>47.982899999999994</v>
      </c>
      <c r="AI110" s="2">
        <f t="shared" si="77"/>
        <v>0</v>
      </c>
      <c r="AJ110" s="2">
        <f t="shared" si="77"/>
        <v>0</v>
      </c>
      <c r="AK110" s="2">
        <f t="shared" si="77"/>
        <v>17377.97</v>
      </c>
      <c r="AL110" s="2">
        <f t="shared" si="77"/>
        <v>2482.56</v>
      </c>
      <c r="AM110" s="2">
        <f t="shared" si="77"/>
        <v>0</v>
      </c>
      <c r="AN110" s="2">
        <f t="shared" si="77"/>
        <v>0</v>
      </c>
      <c r="AO110" s="2">
        <f t="shared" si="77"/>
        <v>0</v>
      </c>
      <c r="AP110" s="2">
        <f t="shared" si="77"/>
        <v>0</v>
      </c>
      <c r="AQ110" s="2">
        <f t="shared" si="77"/>
        <v>0</v>
      </c>
      <c r="AR110" s="2">
        <f t="shared" si="77"/>
        <v>46559.93</v>
      </c>
      <c r="AS110" s="2">
        <f t="shared" si="77"/>
        <v>0</v>
      </c>
      <c r="AT110" s="2">
        <f t="shared" si="77"/>
        <v>0</v>
      </c>
      <c r="AU110" s="2">
        <f t="shared" ref="AU110:BZ110" si="78">AU124</f>
        <v>46559.93</v>
      </c>
      <c r="AV110" s="2">
        <f t="shared" si="78"/>
        <v>279.99</v>
      </c>
      <c r="AW110" s="2">
        <f t="shared" si="78"/>
        <v>279.99</v>
      </c>
      <c r="AX110" s="2">
        <f t="shared" si="78"/>
        <v>0</v>
      </c>
      <c r="AY110" s="2">
        <f t="shared" si="78"/>
        <v>279.99</v>
      </c>
      <c r="AZ110" s="2">
        <f t="shared" si="78"/>
        <v>0</v>
      </c>
      <c r="BA110" s="2">
        <f t="shared" si="78"/>
        <v>0</v>
      </c>
      <c r="BB110" s="2">
        <f t="shared" si="78"/>
        <v>0</v>
      </c>
      <c r="BC110" s="2">
        <f t="shared" si="78"/>
        <v>0</v>
      </c>
      <c r="BD110" s="2">
        <f t="shared" si="78"/>
        <v>0</v>
      </c>
      <c r="BE110" s="2">
        <f t="shared" si="78"/>
        <v>0</v>
      </c>
      <c r="BF110" s="2">
        <f t="shared" si="78"/>
        <v>0</v>
      </c>
      <c r="BG110" s="2">
        <f t="shared" si="78"/>
        <v>0</v>
      </c>
      <c r="BH110" s="2">
        <f t="shared" si="78"/>
        <v>0</v>
      </c>
      <c r="BI110" s="2">
        <f t="shared" si="78"/>
        <v>0</v>
      </c>
      <c r="BJ110" s="2">
        <f t="shared" si="78"/>
        <v>0</v>
      </c>
      <c r="BK110" s="2">
        <f t="shared" si="78"/>
        <v>0</v>
      </c>
      <c r="BL110" s="2">
        <f t="shared" si="78"/>
        <v>0</v>
      </c>
      <c r="BM110" s="2">
        <f t="shared" si="78"/>
        <v>0</v>
      </c>
      <c r="BN110" s="2">
        <f t="shared" si="78"/>
        <v>0</v>
      </c>
      <c r="BO110" s="2">
        <f t="shared" si="78"/>
        <v>0</v>
      </c>
      <c r="BP110" s="2">
        <f t="shared" si="78"/>
        <v>0</v>
      </c>
      <c r="BQ110" s="2">
        <f t="shared" si="78"/>
        <v>0</v>
      </c>
      <c r="BR110" s="2">
        <f t="shared" si="78"/>
        <v>0</v>
      </c>
      <c r="BS110" s="2">
        <f t="shared" si="78"/>
        <v>0</v>
      </c>
      <c r="BT110" s="2">
        <f t="shared" si="78"/>
        <v>0</v>
      </c>
      <c r="BU110" s="2">
        <f t="shared" si="78"/>
        <v>0</v>
      </c>
      <c r="BV110" s="2">
        <f t="shared" si="78"/>
        <v>0</v>
      </c>
      <c r="BW110" s="2">
        <f t="shared" si="78"/>
        <v>0</v>
      </c>
      <c r="BX110" s="2">
        <f t="shared" si="78"/>
        <v>0</v>
      </c>
      <c r="BY110" s="2">
        <f t="shared" si="78"/>
        <v>0</v>
      </c>
      <c r="BZ110" s="2">
        <f t="shared" si="78"/>
        <v>0</v>
      </c>
      <c r="CA110" s="2">
        <f t="shared" ref="CA110:DF110" si="79">CA124</f>
        <v>46559.93</v>
      </c>
      <c r="CB110" s="2">
        <f t="shared" si="79"/>
        <v>0</v>
      </c>
      <c r="CC110" s="2">
        <f t="shared" si="79"/>
        <v>0</v>
      </c>
      <c r="CD110" s="2">
        <f t="shared" si="79"/>
        <v>46559.93</v>
      </c>
      <c r="CE110" s="2">
        <f t="shared" si="79"/>
        <v>279.99</v>
      </c>
      <c r="CF110" s="2">
        <f t="shared" si="79"/>
        <v>279.99</v>
      </c>
      <c r="CG110" s="2">
        <f t="shared" si="79"/>
        <v>0</v>
      </c>
      <c r="CH110" s="2">
        <f t="shared" si="79"/>
        <v>279.99</v>
      </c>
      <c r="CI110" s="2">
        <f t="shared" si="79"/>
        <v>0</v>
      </c>
      <c r="CJ110" s="2">
        <f t="shared" si="79"/>
        <v>0</v>
      </c>
      <c r="CK110" s="2">
        <f t="shared" si="79"/>
        <v>0</v>
      </c>
      <c r="CL110" s="2">
        <f t="shared" si="79"/>
        <v>0</v>
      </c>
      <c r="CM110" s="2">
        <f t="shared" si="79"/>
        <v>0</v>
      </c>
      <c r="CN110" s="2">
        <f t="shared" si="79"/>
        <v>0</v>
      </c>
      <c r="CO110" s="2">
        <f t="shared" si="79"/>
        <v>0</v>
      </c>
      <c r="CP110" s="2">
        <f t="shared" si="79"/>
        <v>0</v>
      </c>
      <c r="CQ110" s="2">
        <f t="shared" si="79"/>
        <v>0</v>
      </c>
      <c r="CR110" s="2">
        <f t="shared" si="79"/>
        <v>0</v>
      </c>
      <c r="CS110" s="2">
        <f t="shared" si="79"/>
        <v>0</v>
      </c>
      <c r="CT110" s="2">
        <f t="shared" si="79"/>
        <v>0</v>
      </c>
      <c r="CU110" s="2">
        <f t="shared" si="79"/>
        <v>0</v>
      </c>
      <c r="CV110" s="2">
        <f t="shared" si="79"/>
        <v>0</v>
      </c>
      <c r="CW110" s="2">
        <f t="shared" si="79"/>
        <v>0</v>
      </c>
      <c r="CX110" s="2">
        <f t="shared" si="79"/>
        <v>0</v>
      </c>
      <c r="CY110" s="2">
        <f t="shared" si="79"/>
        <v>0</v>
      </c>
      <c r="CZ110" s="2">
        <f t="shared" si="79"/>
        <v>0</v>
      </c>
      <c r="DA110" s="2">
        <f t="shared" si="79"/>
        <v>0</v>
      </c>
      <c r="DB110" s="2">
        <f t="shared" si="79"/>
        <v>0</v>
      </c>
      <c r="DC110" s="2">
        <f t="shared" si="79"/>
        <v>0</v>
      </c>
      <c r="DD110" s="2">
        <f t="shared" si="79"/>
        <v>0</v>
      </c>
      <c r="DE110" s="2">
        <f t="shared" si="79"/>
        <v>0</v>
      </c>
      <c r="DF110" s="2">
        <f t="shared" si="79"/>
        <v>0</v>
      </c>
      <c r="DG110" s="3">
        <f t="shared" ref="DG110:EL110" si="80">DG124</f>
        <v>0</v>
      </c>
      <c r="DH110" s="3">
        <f t="shared" si="80"/>
        <v>0</v>
      </c>
      <c r="DI110" s="3">
        <f t="shared" si="80"/>
        <v>0</v>
      </c>
      <c r="DJ110" s="3">
        <f t="shared" si="80"/>
        <v>0</v>
      </c>
      <c r="DK110" s="3">
        <f t="shared" si="80"/>
        <v>0</v>
      </c>
      <c r="DL110" s="3">
        <f t="shared" si="80"/>
        <v>0</v>
      </c>
      <c r="DM110" s="3">
        <f t="shared" si="80"/>
        <v>0</v>
      </c>
      <c r="DN110" s="3">
        <f t="shared" si="80"/>
        <v>0</v>
      </c>
      <c r="DO110" s="3">
        <f t="shared" si="80"/>
        <v>0</v>
      </c>
      <c r="DP110" s="3">
        <f t="shared" si="80"/>
        <v>0</v>
      </c>
      <c r="DQ110" s="3">
        <f t="shared" si="80"/>
        <v>0</v>
      </c>
      <c r="DR110" s="3">
        <f t="shared" si="80"/>
        <v>0</v>
      </c>
      <c r="DS110" s="3">
        <f t="shared" si="80"/>
        <v>0</v>
      </c>
      <c r="DT110" s="3">
        <f t="shared" si="80"/>
        <v>0</v>
      </c>
      <c r="DU110" s="3">
        <f t="shared" si="80"/>
        <v>0</v>
      </c>
      <c r="DV110" s="3">
        <f t="shared" si="80"/>
        <v>0</v>
      </c>
      <c r="DW110" s="3">
        <f t="shared" si="80"/>
        <v>0</v>
      </c>
      <c r="DX110" s="3">
        <f t="shared" si="80"/>
        <v>0</v>
      </c>
      <c r="DY110" s="3">
        <f t="shared" si="80"/>
        <v>0</v>
      </c>
      <c r="DZ110" s="3">
        <f t="shared" si="80"/>
        <v>0</v>
      </c>
      <c r="EA110" s="3">
        <f t="shared" si="80"/>
        <v>0</v>
      </c>
      <c r="EB110" s="3">
        <f t="shared" si="80"/>
        <v>0</v>
      </c>
      <c r="EC110" s="3">
        <f t="shared" si="80"/>
        <v>0</v>
      </c>
      <c r="ED110" s="3">
        <f t="shared" si="80"/>
        <v>0</v>
      </c>
      <c r="EE110" s="3">
        <f t="shared" si="80"/>
        <v>0</v>
      </c>
      <c r="EF110" s="3">
        <f t="shared" si="80"/>
        <v>0</v>
      </c>
      <c r="EG110" s="3">
        <f t="shared" si="80"/>
        <v>0</v>
      </c>
      <c r="EH110" s="3">
        <f t="shared" si="80"/>
        <v>0</v>
      </c>
      <c r="EI110" s="3">
        <f t="shared" si="80"/>
        <v>0</v>
      </c>
      <c r="EJ110" s="3">
        <f t="shared" si="80"/>
        <v>0</v>
      </c>
      <c r="EK110" s="3">
        <f t="shared" si="80"/>
        <v>0</v>
      </c>
      <c r="EL110" s="3">
        <f t="shared" si="80"/>
        <v>0</v>
      </c>
      <c r="EM110" s="3">
        <f t="shared" ref="EM110:FR110" si="81">EM124</f>
        <v>0</v>
      </c>
      <c r="EN110" s="3">
        <f t="shared" si="81"/>
        <v>0</v>
      </c>
      <c r="EO110" s="3">
        <f t="shared" si="81"/>
        <v>0</v>
      </c>
      <c r="EP110" s="3">
        <f t="shared" si="81"/>
        <v>0</v>
      </c>
      <c r="EQ110" s="3">
        <f t="shared" si="81"/>
        <v>0</v>
      </c>
      <c r="ER110" s="3">
        <f t="shared" si="81"/>
        <v>0</v>
      </c>
      <c r="ES110" s="3">
        <f t="shared" si="81"/>
        <v>0</v>
      </c>
      <c r="ET110" s="3">
        <f t="shared" si="81"/>
        <v>0</v>
      </c>
      <c r="EU110" s="3">
        <f t="shared" si="81"/>
        <v>0</v>
      </c>
      <c r="EV110" s="3">
        <f t="shared" si="81"/>
        <v>0</v>
      </c>
      <c r="EW110" s="3">
        <f t="shared" si="81"/>
        <v>0</v>
      </c>
      <c r="EX110" s="3">
        <f t="shared" si="81"/>
        <v>0</v>
      </c>
      <c r="EY110" s="3">
        <f t="shared" si="81"/>
        <v>0</v>
      </c>
      <c r="EZ110" s="3">
        <f t="shared" si="81"/>
        <v>0</v>
      </c>
      <c r="FA110" s="3">
        <f t="shared" si="81"/>
        <v>0</v>
      </c>
      <c r="FB110" s="3">
        <f t="shared" si="81"/>
        <v>0</v>
      </c>
      <c r="FC110" s="3">
        <f t="shared" si="81"/>
        <v>0</v>
      </c>
      <c r="FD110" s="3">
        <f t="shared" si="81"/>
        <v>0</v>
      </c>
      <c r="FE110" s="3">
        <f t="shared" si="81"/>
        <v>0</v>
      </c>
      <c r="FF110" s="3">
        <f t="shared" si="81"/>
        <v>0</v>
      </c>
      <c r="FG110" s="3">
        <f t="shared" si="81"/>
        <v>0</v>
      </c>
      <c r="FH110" s="3">
        <f t="shared" si="81"/>
        <v>0</v>
      </c>
      <c r="FI110" s="3">
        <f t="shared" si="81"/>
        <v>0</v>
      </c>
      <c r="FJ110" s="3">
        <f t="shared" si="81"/>
        <v>0</v>
      </c>
      <c r="FK110" s="3">
        <f t="shared" si="81"/>
        <v>0</v>
      </c>
      <c r="FL110" s="3">
        <f t="shared" si="81"/>
        <v>0</v>
      </c>
      <c r="FM110" s="3">
        <f t="shared" si="81"/>
        <v>0</v>
      </c>
      <c r="FN110" s="3">
        <f t="shared" si="81"/>
        <v>0</v>
      </c>
      <c r="FO110" s="3">
        <f t="shared" si="81"/>
        <v>0</v>
      </c>
      <c r="FP110" s="3">
        <f t="shared" si="81"/>
        <v>0</v>
      </c>
      <c r="FQ110" s="3">
        <f t="shared" si="81"/>
        <v>0</v>
      </c>
      <c r="FR110" s="3">
        <f t="shared" si="81"/>
        <v>0</v>
      </c>
      <c r="FS110" s="3">
        <f t="shared" ref="FS110:GX110" si="82">FS124</f>
        <v>0</v>
      </c>
      <c r="FT110" s="3">
        <f t="shared" si="82"/>
        <v>0</v>
      </c>
      <c r="FU110" s="3">
        <f t="shared" si="82"/>
        <v>0</v>
      </c>
      <c r="FV110" s="3">
        <f t="shared" si="82"/>
        <v>0</v>
      </c>
      <c r="FW110" s="3">
        <f t="shared" si="82"/>
        <v>0</v>
      </c>
      <c r="FX110" s="3">
        <f t="shared" si="82"/>
        <v>0</v>
      </c>
      <c r="FY110" s="3">
        <f t="shared" si="82"/>
        <v>0</v>
      </c>
      <c r="FZ110" s="3">
        <f t="shared" si="82"/>
        <v>0</v>
      </c>
      <c r="GA110" s="3">
        <f t="shared" si="82"/>
        <v>0</v>
      </c>
      <c r="GB110" s="3">
        <f t="shared" si="82"/>
        <v>0</v>
      </c>
      <c r="GC110" s="3">
        <f t="shared" si="82"/>
        <v>0</v>
      </c>
      <c r="GD110" s="3">
        <f t="shared" si="82"/>
        <v>0</v>
      </c>
      <c r="GE110" s="3">
        <f t="shared" si="82"/>
        <v>0</v>
      </c>
      <c r="GF110" s="3">
        <f t="shared" si="82"/>
        <v>0</v>
      </c>
      <c r="GG110" s="3">
        <f t="shared" si="82"/>
        <v>0</v>
      </c>
      <c r="GH110" s="3">
        <f t="shared" si="82"/>
        <v>0</v>
      </c>
      <c r="GI110" s="3">
        <f t="shared" si="82"/>
        <v>0</v>
      </c>
      <c r="GJ110" s="3">
        <f t="shared" si="82"/>
        <v>0</v>
      </c>
      <c r="GK110" s="3">
        <f t="shared" si="82"/>
        <v>0</v>
      </c>
      <c r="GL110" s="3">
        <f t="shared" si="82"/>
        <v>0</v>
      </c>
      <c r="GM110" s="3">
        <f t="shared" si="82"/>
        <v>0</v>
      </c>
      <c r="GN110" s="3">
        <f t="shared" si="82"/>
        <v>0</v>
      </c>
      <c r="GO110" s="3">
        <f t="shared" si="82"/>
        <v>0</v>
      </c>
      <c r="GP110" s="3">
        <f t="shared" si="82"/>
        <v>0</v>
      </c>
      <c r="GQ110" s="3">
        <f t="shared" si="82"/>
        <v>0</v>
      </c>
      <c r="GR110" s="3">
        <f t="shared" si="82"/>
        <v>0</v>
      </c>
      <c r="GS110" s="3">
        <f t="shared" si="82"/>
        <v>0</v>
      </c>
      <c r="GT110" s="3">
        <f t="shared" si="82"/>
        <v>0</v>
      </c>
      <c r="GU110" s="3">
        <f t="shared" si="82"/>
        <v>0</v>
      </c>
      <c r="GV110" s="3">
        <f t="shared" si="82"/>
        <v>0</v>
      </c>
      <c r="GW110" s="3">
        <f t="shared" si="82"/>
        <v>0</v>
      </c>
      <c r="GX110" s="3">
        <f t="shared" si="82"/>
        <v>0</v>
      </c>
    </row>
    <row r="112" spans="1:245" x14ac:dyDescent="0.2">
      <c r="A112">
        <v>17</v>
      </c>
      <c r="B112">
        <v>1</v>
      </c>
      <c r="D112">
        <f>ROW(EtalonRes!A16)</f>
        <v>16</v>
      </c>
      <c r="E112" t="s">
        <v>3</v>
      </c>
      <c r="F112" t="s">
        <v>106</v>
      </c>
      <c r="G112" t="s">
        <v>107</v>
      </c>
      <c r="H112" t="s">
        <v>32</v>
      </c>
      <c r="I112">
        <f>ROUND((9)/10,9)</f>
        <v>0.9</v>
      </c>
      <c r="J112">
        <v>0</v>
      </c>
      <c r="K112">
        <f>ROUND((9)/10,9)</f>
        <v>0.9</v>
      </c>
      <c r="O112">
        <f t="shared" ref="O112:O122" si="83">ROUND(CP112,2)</f>
        <v>11904.01</v>
      </c>
      <c r="P112">
        <f t="shared" ref="P112:P122" si="84">ROUND(CQ112*I112,2)</f>
        <v>0</v>
      </c>
      <c r="Q112">
        <f t="shared" ref="Q112:Q122" si="85">ROUND(CR112*I112,2)</f>
        <v>0</v>
      </c>
      <c r="R112">
        <f t="shared" ref="R112:R122" si="86">ROUND(CS112*I112,2)</f>
        <v>0</v>
      </c>
      <c r="S112">
        <f t="shared" ref="S112:S122" si="87">ROUND(CT112*I112,2)</f>
        <v>11904.01</v>
      </c>
      <c r="T112">
        <f t="shared" ref="T112:T122" si="88">ROUND(CU112*I112,2)</f>
        <v>0</v>
      </c>
      <c r="U112">
        <f t="shared" ref="U112:U122" si="89">CV112*I112</f>
        <v>19.278000000000002</v>
      </c>
      <c r="V112">
        <f t="shared" ref="V112:V122" si="90">CW112*I112</f>
        <v>0</v>
      </c>
      <c r="W112">
        <f t="shared" ref="W112:W122" si="91">ROUND(CX112*I112,2)</f>
        <v>0</v>
      </c>
      <c r="X112">
        <f t="shared" ref="X112:X122" si="92">ROUND(CY112,2)</f>
        <v>8332.81</v>
      </c>
      <c r="Y112">
        <f t="shared" ref="Y112:Y122" si="93">ROUND(CZ112,2)</f>
        <v>1190.4000000000001</v>
      </c>
      <c r="AA112">
        <v>-1</v>
      </c>
      <c r="AB112">
        <f t="shared" ref="AB112:AB122" si="94">ROUND((AC112+AD112+AF112),6)</f>
        <v>13226.68</v>
      </c>
      <c r="AC112">
        <f>ROUND(((ES112*17)),6)</f>
        <v>0</v>
      </c>
      <c r="AD112">
        <f>ROUND(((((ET112*17))-((EU112*17)))+AE112),6)</f>
        <v>0</v>
      </c>
      <c r="AE112">
        <f t="shared" ref="AE112:AF116" si="95">ROUND(((EU112*17)),6)</f>
        <v>0</v>
      </c>
      <c r="AF112">
        <f t="shared" si="95"/>
        <v>13226.68</v>
      </c>
      <c r="AG112">
        <f t="shared" ref="AG112:AG122" si="96">ROUND((AP112),6)</f>
        <v>0</v>
      </c>
      <c r="AH112">
        <f t="shared" ref="AH112:AI116" si="97">((EW112*17))</f>
        <v>21.42</v>
      </c>
      <c r="AI112">
        <f t="shared" si="97"/>
        <v>0</v>
      </c>
      <c r="AJ112">
        <f t="shared" ref="AJ112:AJ122" si="98">(AS112)</f>
        <v>0</v>
      </c>
      <c r="AK112">
        <v>778.04</v>
      </c>
      <c r="AL112">
        <v>0</v>
      </c>
      <c r="AM112">
        <v>0</v>
      </c>
      <c r="AN112">
        <v>0</v>
      </c>
      <c r="AO112">
        <v>778.04</v>
      </c>
      <c r="AP112">
        <v>0</v>
      </c>
      <c r="AQ112">
        <v>1.26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108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22" si="99">(P112+Q112+S112)</f>
        <v>11904.01</v>
      </c>
      <c r="CQ112">
        <f t="shared" ref="CQ112:CQ122" si="100">(AC112*BC112*AW112)</f>
        <v>0</v>
      </c>
      <c r="CR112">
        <f>(((((ET112*17))*BB112-((EU112*17))*BS112)+AE112*BS112)*AV112)</f>
        <v>0</v>
      </c>
      <c r="CS112">
        <f t="shared" ref="CS112:CS122" si="101">(AE112*BS112*AV112)</f>
        <v>0</v>
      </c>
      <c r="CT112">
        <f t="shared" ref="CT112:CT122" si="102">(AF112*BA112*AV112)</f>
        <v>13226.68</v>
      </c>
      <c r="CU112">
        <f t="shared" ref="CU112:CU122" si="103">AG112</f>
        <v>0</v>
      </c>
      <c r="CV112">
        <f t="shared" ref="CV112:CV122" si="104">(AH112*AV112)</f>
        <v>21.42</v>
      </c>
      <c r="CW112">
        <f t="shared" ref="CW112:CW122" si="105">AI112</f>
        <v>0</v>
      </c>
      <c r="CX112">
        <f t="shared" ref="CX112:CX122" si="106">AJ112</f>
        <v>0</v>
      </c>
      <c r="CY112">
        <f t="shared" ref="CY112:CY122" si="107">((S112*BZ112)/100)</f>
        <v>8332.8070000000007</v>
      </c>
      <c r="CZ112">
        <f t="shared" ref="CZ112:CZ122" si="108">((S112*CA112)/100)</f>
        <v>1190.4010000000001</v>
      </c>
      <c r="DC112" t="s">
        <v>3</v>
      </c>
      <c r="DD112" t="s">
        <v>109</v>
      </c>
      <c r="DE112" t="s">
        <v>109</v>
      </c>
      <c r="DF112" t="s">
        <v>109</v>
      </c>
      <c r="DG112" t="s">
        <v>109</v>
      </c>
      <c r="DH112" t="s">
        <v>3</v>
      </c>
      <c r="DI112" t="s">
        <v>109</v>
      </c>
      <c r="DJ112" t="s">
        <v>109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32</v>
      </c>
      <c r="DW112" t="s">
        <v>32</v>
      </c>
      <c r="DX112">
        <v>10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21</v>
      </c>
      <c r="EH112">
        <v>0</v>
      </c>
      <c r="EI112" t="s">
        <v>3</v>
      </c>
      <c r="EJ112">
        <v>4</v>
      </c>
      <c r="EK112">
        <v>0</v>
      </c>
      <c r="EL112" t="s">
        <v>22</v>
      </c>
      <c r="EM112" t="s">
        <v>23</v>
      </c>
      <c r="EO112" t="s">
        <v>3</v>
      </c>
      <c r="EQ112">
        <v>1024</v>
      </c>
      <c r="ER112">
        <v>778.04</v>
      </c>
      <c r="ES112">
        <v>0</v>
      </c>
      <c r="ET112">
        <v>0</v>
      </c>
      <c r="EU112">
        <v>0</v>
      </c>
      <c r="EV112">
        <v>778.04</v>
      </c>
      <c r="EW112">
        <v>1.26</v>
      </c>
      <c r="EX112">
        <v>0</v>
      </c>
      <c r="EY112">
        <v>0</v>
      </c>
      <c r="FQ112">
        <v>0</v>
      </c>
      <c r="FR112">
        <f t="shared" ref="FR112:FR122" si="109">ROUND(IF(BI112=3,GM112,0),2)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1084928283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 t="shared" ref="GL112:GL122" si="110">ROUND(IF(AND(BH112=3,BI112=3,FS112&lt;&gt;0),P112,0),2)</f>
        <v>0</v>
      </c>
      <c r="GM112">
        <f t="shared" ref="GM112:GM122" si="111">ROUND(O112+X112+Y112+GK112,2)+GX112</f>
        <v>21427.22</v>
      </c>
      <c r="GN112">
        <f t="shared" ref="GN112:GN122" si="112">IF(OR(BI112=0,BI112=1),GM112-GX112,0)</f>
        <v>0</v>
      </c>
      <c r="GO112">
        <f t="shared" ref="GO112:GO122" si="113">IF(BI112=2,GM112-GX112,0)</f>
        <v>0</v>
      </c>
      <c r="GP112">
        <f t="shared" ref="GP112:GP122" si="114">IF(BI112=4,GM112-GX112,0)</f>
        <v>21427.22</v>
      </c>
      <c r="GR112">
        <v>0</v>
      </c>
      <c r="GS112">
        <v>3</v>
      </c>
      <c r="GT112">
        <v>0</v>
      </c>
      <c r="GU112" t="s">
        <v>3</v>
      </c>
      <c r="GV112">
        <f t="shared" ref="GV112:GV122" si="115">ROUND((GT112),6)</f>
        <v>0</v>
      </c>
      <c r="GW112">
        <v>1</v>
      </c>
      <c r="GX112">
        <f t="shared" ref="GX112:GX122" si="116">ROUND(HC112*I112,2)</f>
        <v>0</v>
      </c>
      <c r="HA112">
        <v>0</v>
      </c>
      <c r="HB112">
        <v>0</v>
      </c>
      <c r="HC112">
        <f t="shared" ref="HC112:HC122" si="117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ROW(EtalonRes!A17)</f>
        <v>17</v>
      </c>
      <c r="E113" t="s">
        <v>3</v>
      </c>
      <c r="F113" t="s">
        <v>110</v>
      </c>
      <c r="G113" t="s">
        <v>111</v>
      </c>
      <c r="H113" t="s">
        <v>32</v>
      </c>
      <c r="I113">
        <f>ROUND(2/10,9)</f>
        <v>0.2</v>
      </c>
      <c r="J113">
        <v>0</v>
      </c>
      <c r="K113">
        <f>ROUND(2/10,9)</f>
        <v>0.2</v>
      </c>
      <c r="O113">
        <f t="shared" si="83"/>
        <v>566.85</v>
      </c>
      <c r="P113">
        <f t="shared" si="84"/>
        <v>0</v>
      </c>
      <c r="Q113">
        <f t="shared" si="85"/>
        <v>0</v>
      </c>
      <c r="R113">
        <f t="shared" si="86"/>
        <v>0</v>
      </c>
      <c r="S113">
        <f t="shared" si="87"/>
        <v>566.85</v>
      </c>
      <c r="T113">
        <f t="shared" si="88"/>
        <v>0</v>
      </c>
      <c r="U113">
        <f t="shared" si="89"/>
        <v>0.91800000000000004</v>
      </c>
      <c r="V113">
        <f t="shared" si="90"/>
        <v>0</v>
      </c>
      <c r="W113">
        <f t="shared" si="91"/>
        <v>0</v>
      </c>
      <c r="X113">
        <f t="shared" si="92"/>
        <v>396.8</v>
      </c>
      <c r="Y113">
        <f t="shared" si="93"/>
        <v>56.69</v>
      </c>
      <c r="AA113">
        <v>-1</v>
      </c>
      <c r="AB113">
        <f t="shared" si="94"/>
        <v>2834.24</v>
      </c>
      <c r="AC113">
        <f>ROUND(((ES113*17)),6)</f>
        <v>0</v>
      </c>
      <c r="AD113">
        <f>ROUND(((((ET113*17))-((EU113*17)))+AE113),6)</f>
        <v>0</v>
      </c>
      <c r="AE113">
        <f t="shared" si="95"/>
        <v>0</v>
      </c>
      <c r="AF113">
        <f t="shared" si="95"/>
        <v>2834.24</v>
      </c>
      <c r="AG113">
        <f t="shared" si="96"/>
        <v>0</v>
      </c>
      <c r="AH113">
        <f t="shared" si="97"/>
        <v>4.59</v>
      </c>
      <c r="AI113">
        <f t="shared" si="97"/>
        <v>0</v>
      </c>
      <c r="AJ113">
        <f t="shared" si="98"/>
        <v>0</v>
      </c>
      <c r="AK113">
        <v>166.72</v>
      </c>
      <c r="AL113">
        <v>0</v>
      </c>
      <c r="AM113">
        <v>0</v>
      </c>
      <c r="AN113">
        <v>0</v>
      </c>
      <c r="AO113">
        <v>166.72</v>
      </c>
      <c r="AP113">
        <v>0</v>
      </c>
      <c r="AQ113">
        <v>0.27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112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9"/>
        <v>566.85</v>
      </c>
      <c r="CQ113">
        <f t="shared" si="100"/>
        <v>0</v>
      </c>
      <c r="CR113">
        <f>(((((ET113*17))*BB113-((EU113*17))*BS113)+AE113*BS113)*AV113)</f>
        <v>0</v>
      </c>
      <c r="CS113">
        <f t="shared" si="101"/>
        <v>0</v>
      </c>
      <c r="CT113">
        <f t="shared" si="102"/>
        <v>2834.24</v>
      </c>
      <c r="CU113">
        <f t="shared" si="103"/>
        <v>0</v>
      </c>
      <c r="CV113">
        <f t="shared" si="104"/>
        <v>4.59</v>
      </c>
      <c r="CW113">
        <f t="shared" si="105"/>
        <v>0</v>
      </c>
      <c r="CX113">
        <f t="shared" si="106"/>
        <v>0</v>
      </c>
      <c r="CY113">
        <f t="shared" si="107"/>
        <v>396.79500000000002</v>
      </c>
      <c r="CZ113">
        <f t="shared" si="108"/>
        <v>56.685000000000002</v>
      </c>
      <c r="DC113" t="s">
        <v>3</v>
      </c>
      <c r="DD113" t="s">
        <v>109</v>
      </c>
      <c r="DE113" t="s">
        <v>109</v>
      </c>
      <c r="DF113" t="s">
        <v>109</v>
      </c>
      <c r="DG113" t="s">
        <v>109</v>
      </c>
      <c r="DH113" t="s">
        <v>3</v>
      </c>
      <c r="DI113" t="s">
        <v>109</v>
      </c>
      <c r="DJ113" t="s">
        <v>109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16987630</v>
      </c>
      <c r="DV113" t="s">
        <v>32</v>
      </c>
      <c r="DW113" t="s">
        <v>32</v>
      </c>
      <c r="DX113">
        <v>10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21</v>
      </c>
      <c r="EH113">
        <v>0</v>
      </c>
      <c r="EI113" t="s">
        <v>3</v>
      </c>
      <c r="EJ113">
        <v>4</v>
      </c>
      <c r="EK113">
        <v>0</v>
      </c>
      <c r="EL113" t="s">
        <v>22</v>
      </c>
      <c r="EM113" t="s">
        <v>23</v>
      </c>
      <c r="EO113" t="s">
        <v>3</v>
      </c>
      <c r="EQ113">
        <v>1024</v>
      </c>
      <c r="ER113">
        <v>166.72</v>
      </c>
      <c r="ES113">
        <v>0</v>
      </c>
      <c r="ET113">
        <v>0</v>
      </c>
      <c r="EU113">
        <v>0</v>
      </c>
      <c r="EV113">
        <v>166.72</v>
      </c>
      <c r="EW113">
        <v>0.27</v>
      </c>
      <c r="EX113">
        <v>0</v>
      </c>
      <c r="EY113">
        <v>0</v>
      </c>
      <c r="FQ113">
        <v>0</v>
      </c>
      <c r="FR113">
        <f t="shared" si="109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-2036738061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10"/>
        <v>0</v>
      </c>
      <c r="GM113">
        <f t="shared" si="111"/>
        <v>1020.34</v>
      </c>
      <c r="GN113">
        <f t="shared" si="112"/>
        <v>0</v>
      </c>
      <c r="GO113">
        <f t="shared" si="113"/>
        <v>0</v>
      </c>
      <c r="GP113">
        <f t="shared" si="114"/>
        <v>1020.34</v>
      </c>
      <c r="GR113">
        <v>0</v>
      </c>
      <c r="GS113">
        <v>3</v>
      </c>
      <c r="GT113">
        <v>0</v>
      </c>
      <c r="GU113" t="s">
        <v>3</v>
      </c>
      <c r="GV113">
        <f t="shared" si="115"/>
        <v>0</v>
      </c>
      <c r="GW113">
        <v>1</v>
      </c>
      <c r="GX113">
        <f t="shared" si="116"/>
        <v>0</v>
      </c>
      <c r="HA113">
        <v>0</v>
      </c>
      <c r="HB113">
        <v>0</v>
      </c>
      <c r="HC113">
        <f t="shared" si="117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D114">
        <f>ROW(EtalonRes!A18)</f>
        <v>18</v>
      </c>
      <c r="E114" t="s">
        <v>3</v>
      </c>
      <c r="F114" t="s">
        <v>113</v>
      </c>
      <c r="G114" t="s">
        <v>114</v>
      </c>
      <c r="H114" t="s">
        <v>32</v>
      </c>
      <c r="I114">
        <f>ROUND(1/10,9)</f>
        <v>0.1</v>
      </c>
      <c r="J114">
        <v>0</v>
      </c>
      <c r="K114">
        <f>ROUND(1/10,9)</f>
        <v>0.1</v>
      </c>
      <c r="O114">
        <f t="shared" si="83"/>
        <v>241.43</v>
      </c>
      <c r="P114">
        <f t="shared" si="84"/>
        <v>0</v>
      </c>
      <c r="Q114">
        <f t="shared" si="85"/>
        <v>0</v>
      </c>
      <c r="R114">
        <f t="shared" si="86"/>
        <v>0</v>
      </c>
      <c r="S114">
        <f t="shared" si="87"/>
        <v>241.43</v>
      </c>
      <c r="T114">
        <f t="shared" si="88"/>
        <v>0</v>
      </c>
      <c r="U114">
        <f t="shared" si="89"/>
        <v>0.39100000000000001</v>
      </c>
      <c r="V114">
        <f t="shared" si="90"/>
        <v>0</v>
      </c>
      <c r="W114">
        <f t="shared" si="91"/>
        <v>0</v>
      </c>
      <c r="X114">
        <f t="shared" si="92"/>
        <v>169</v>
      </c>
      <c r="Y114">
        <f t="shared" si="93"/>
        <v>24.14</v>
      </c>
      <c r="AA114">
        <v>-1</v>
      </c>
      <c r="AB114">
        <f t="shared" si="94"/>
        <v>2414.34</v>
      </c>
      <c r="AC114">
        <f>ROUND(((ES114*17)),6)</f>
        <v>0</v>
      </c>
      <c r="AD114">
        <f>ROUND(((((ET114*17))-((EU114*17)))+AE114),6)</f>
        <v>0</v>
      </c>
      <c r="AE114">
        <f t="shared" si="95"/>
        <v>0</v>
      </c>
      <c r="AF114">
        <f t="shared" si="95"/>
        <v>2414.34</v>
      </c>
      <c r="AG114">
        <f t="shared" si="96"/>
        <v>0</v>
      </c>
      <c r="AH114">
        <f t="shared" si="97"/>
        <v>3.91</v>
      </c>
      <c r="AI114">
        <f t="shared" si="97"/>
        <v>0</v>
      </c>
      <c r="AJ114">
        <f t="shared" si="98"/>
        <v>0</v>
      </c>
      <c r="AK114">
        <v>142.02000000000001</v>
      </c>
      <c r="AL114">
        <v>0</v>
      </c>
      <c r="AM114">
        <v>0</v>
      </c>
      <c r="AN114">
        <v>0</v>
      </c>
      <c r="AO114">
        <v>142.02000000000001</v>
      </c>
      <c r="AP114">
        <v>0</v>
      </c>
      <c r="AQ114">
        <v>0.23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115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9"/>
        <v>241.43</v>
      </c>
      <c r="CQ114">
        <f t="shared" si="100"/>
        <v>0</v>
      </c>
      <c r="CR114">
        <f>(((((ET114*17))*BB114-((EU114*17))*BS114)+AE114*BS114)*AV114)</f>
        <v>0</v>
      </c>
      <c r="CS114">
        <f t="shared" si="101"/>
        <v>0</v>
      </c>
      <c r="CT114">
        <f t="shared" si="102"/>
        <v>2414.34</v>
      </c>
      <c r="CU114">
        <f t="shared" si="103"/>
        <v>0</v>
      </c>
      <c r="CV114">
        <f t="shared" si="104"/>
        <v>3.91</v>
      </c>
      <c r="CW114">
        <f t="shared" si="105"/>
        <v>0</v>
      </c>
      <c r="CX114">
        <f t="shared" si="106"/>
        <v>0</v>
      </c>
      <c r="CY114">
        <f t="shared" si="107"/>
        <v>169.00100000000003</v>
      </c>
      <c r="CZ114">
        <f t="shared" si="108"/>
        <v>24.143000000000001</v>
      </c>
      <c r="DC114" t="s">
        <v>3</v>
      </c>
      <c r="DD114" t="s">
        <v>109</v>
      </c>
      <c r="DE114" t="s">
        <v>109</v>
      </c>
      <c r="DF114" t="s">
        <v>109</v>
      </c>
      <c r="DG114" t="s">
        <v>109</v>
      </c>
      <c r="DH114" t="s">
        <v>3</v>
      </c>
      <c r="DI114" t="s">
        <v>109</v>
      </c>
      <c r="DJ114" t="s">
        <v>109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32</v>
      </c>
      <c r="DW114" t="s">
        <v>32</v>
      </c>
      <c r="DX114">
        <v>10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21</v>
      </c>
      <c r="EH114">
        <v>0</v>
      </c>
      <c r="EI114" t="s">
        <v>3</v>
      </c>
      <c r="EJ114">
        <v>4</v>
      </c>
      <c r="EK114">
        <v>0</v>
      </c>
      <c r="EL114" t="s">
        <v>22</v>
      </c>
      <c r="EM114" t="s">
        <v>23</v>
      </c>
      <c r="EO114" t="s">
        <v>3</v>
      </c>
      <c r="EQ114">
        <v>1024</v>
      </c>
      <c r="ER114">
        <v>142.02000000000001</v>
      </c>
      <c r="ES114">
        <v>0</v>
      </c>
      <c r="ET114">
        <v>0</v>
      </c>
      <c r="EU114">
        <v>0</v>
      </c>
      <c r="EV114">
        <v>142.02000000000001</v>
      </c>
      <c r="EW114">
        <v>0.23</v>
      </c>
      <c r="EX114">
        <v>0</v>
      </c>
      <c r="EY114">
        <v>0</v>
      </c>
      <c r="FQ114">
        <v>0</v>
      </c>
      <c r="FR114">
        <f t="shared" si="109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1349611776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10"/>
        <v>0</v>
      </c>
      <c r="GM114">
        <f t="shared" si="111"/>
        <v>434.57</v>
      </c>
      <c r="GN114">
        <f t="shared" si="112"/>
        <v>0</v>
      </c>
      <c r="GO114">
        <f t="shared" si="113"/>
        <v>0</v>
      </c>
      <c r="GP114">
        <f t="shared" si="114"/>
        <v>434.57</v>
      </c>
      <c r="GR114">
        <v>0</v>
      </c>
      <c r="GS114">
        <v>3</v>
      </c>
      <c r="GT114">
        <v>0</v>
      </c>
      <c r="GU114" t="s">
        <v>3</v>
      </c>
      <c r="GV114">
        <f t="shared" si="115"/>
        <v>0</v>
      </c>
      <c r="GW114">
        <v>1</v>
      </c>
      <c r="GX114">
        <f t="shared" si="116"/>
        <v>0</v>
      </c>
      <c r="HA114">
        <v>0</v>
      </c>
      <c r="HB114">
        <v>0</v>
      </c>
      <c r="HC114">
        <f t="shared" si="117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D115">
        <f>ROW(EtalonRes!A19)</f>
        <v>19</v>
      </c>
      <c r="E115" t="s">
        <v>3</v>
      </c>
      <c r="F115" t="s">
        <v>113</v>
      </c>
      <c r="G115" t="s">
        <v>116</v>
      </c>
      <c r="H115" t="s">
        <v>32</v>
      </c>
      <c r="I115">
        <f>ROUND(1/10,9)</f>
        <v>0.1</v>
      </c>
      <c r="J115">
        <v>0</v>
      </c>
      <c r="K115">
        <f>ROUND(1/10,9)</f>
        <v>0.1</v>
      </c>
      <c r="O115">
        <f t="shared" si="83"/>
        <v>241.43</v>
      </c>
      <c r="P115">
        <f t="shared" si="84"/>
        <v>0</v>
      </c>
      <c r="Q115">
        <f t="shared" si="85"/>
        <v>0</v>
      </c>
      <c r="R115">
        <f t="shared" si="86"/>
        <v>0</v>
      </c>
      <c r="S115">
        <f t="shared" si="87"/>
        <v>241.43</v>
      </c>
      <c r="T115">
        <f t="shared" si="88"/>
        <v>0</v>
      </c>
      <c r="U115">
        <f t="shared" si="89"/>
        <v>0.39100000000000001</v>
      </c>
      <c r="V115">
        <f t="shared" si="90"/>
        <v>0</v>
      </c>
      <c r="W115">
        <f t="shared" si="91"/>
        <v>0</v>
      </c>
      <c r="X115">
        <f t="shared" si="92"/>
        <v>169</v>
      </c>
      <c r="Y115">
        <f t="shared" si="93"/>
        <v>24.14</v>
      </c>
      <c r="AA115">
        <v>-1</v>
      </c>
      <c r="AB115">
        <f t="shared" si="94"/>
        <v>2414.34</v>
      </c>
      <c r="AC115">
        <f>ROUND(((ES115*17)),6)</f>
        <v>0</v>
      </c>
      <c r="AD115">
        <f>ROUND(((((ET115*17))-((EU115*17)))+AE115),6)</f>
        <v>0</v>
      </c>
      <c r="AE115">
        <f t="shared" si="95"/>
        <v>0</v>
      </c>
      <c r="AF115">
        <f t="shared" si="95"/>
        <v>2414.34</v>
      </c>
      <c r="AG115">
        <f t="shared" si="96"/>
        <v>0</v>
      </c>
      <c r="AH115">
        <f t="shared" si="97"/>
        <v>3.91</v>
      </c>
      <c r="AI115">
        <f t="shared" si="97"/>
        <v>0</v>
      </c>
      <c r="AJ115">
        <f t="shared" si="98"/>
        <v>0</v>
      </c>
      <c r="AK115">
        <v>142.02000000000001</v>
      </c>
      <c r="AL115">
        <v>0</v>
      </c>
      <c r="AM115">
        <v>0</v>
      </c>
      <c r="AN115">
        <v>0</v>
      </c>
      <c r="AO115">
        <v>142.02000000000001</v>
      </c>
      <c r="AP115">
        <v>0</v>
      </c>
      <c r="AQ115">
        <v>0.23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115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9"/>
        <v>241.43</v>
      </c>
      <c r="CQ115">
        <f t="shared" si="100"/>
        <v>0</v>
      </c>
      <c r="CR115">
        <f>(((((ET115*17))*BB115-((EU115*17))*BS115)+AE115*BS115)*AV115)</f>
        <v>0</v>
      </c>
      <c r="CS115">
        <f t="shared" si="101"/>
        <v>0</v>
      </c>
      <c r="CT115">
        <f t="shared" si="102"/>
        <v>2414.34</v>
      </c>
      <c r="CU115">
        <f t="shared" si="103"/>
        <v>0</v>
      </c>
      <c r="CV115">
        <f t="shared" si="104"/>
        <v>3.91</v>
      </c>
      <c r="CW115">
        <f t="shared" si="105"/>
        <v>0</v>
      </c>
      <c r="CX115">
        <f t="shared" si="106"/>
        <v>0</v>
      </c>
      <c r="CY115">
        <f t="shared" si="107"/>
        <v>169.00100000000003</v>
      </c>
      <c r="CZ115">
        <f t="shared" si="108"/>
        <v>24.143000000000001</v>
      </c>
      <c r="DC115" t="s">
        <v>3</v>
      </c>
      <c r="DD115" t="s">
        <v>109</v>
      </c>
      <c r="DE115" t="s">
        <v>109</v>
      </c>
      <c r="DF115" t="s">
        <v>109</v>
      </c>
      <c r="DG115" t="s">
        <v>109</v>
      </c>
      <c r="DH115" t="s">
        <v>3</v>
      </c>
      <c r="DI115" t="s">
        <v>109</v>
      </c>
      <c r="DJ115" t="s">
        <v>109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32</v>
      </c>
      <c r="DW115" t="s">
        <v>32</v>
      </c>
      <c r="DX115">
        <v>10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21</v>
      </c>
      <c r="EH115">
        <v>0</v>
      </c>
      <c r="EI115" t="s">
        <v>3</v>
      </c>
      <c r="EJ115">
        <v>4</v>
      </c>
      <c r="EK115">
        <v>0</v>
      </c>
      <c r="EL115" t="s">
        <v>22</v>
      </c>
      <c r="EM115" t="s">
        <v>23</v>
      </c>
      <c r="EO115" t="s">
        <v>3</v>
      </c>
      <c r="EQ115">
        <v>1024</v>
      </c>
      <c r="ER115">
        <v>142.02000000000001</v>
      </c>
      <c r="ES115">
        <v>0</v>
      </c>
      <c r="ET115">
        <v>0</v>
      </c>
      <c r="EU115">
        <v>0</v>
      </c>
      <c r="EV115">
        <v>142.02000000000001</v>
      </c>
      <c r="EW115">
        <v>0.23</v>
      </c>
      <c r="EX115">
        <v>0</v>
      </c>
      <c r="EY115">
        <v>0</v>
      </c>
      <c r="FQ115">
        <v>0</v>
      </c>
      <c r="FR115">
        <f t="shared" si="109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563755934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10"/>
        <v>0</v>
      </c>
      <c r="GM115">
        <f t="shared" si="111"/>
        <v>434.57</v>
      </c>
      <c r="GN115">
        <f t="shared" si="112"/>
        <v>0</v>
      </c>
      <c r="GO115">
        <f t="shared" si="113"/>
        <v>0</v>
      </c>
      <c r="GP115">
        <f t="shared" si="114"/>
        <v>434.57</v>
      </c>
      <c r="GR115">
        <v>0</v>
      </c>
      <c r="GS115">
        <v>3</v>
      </c>
      <c r="GT115">
        <v>0</v>
      </c>
      <c r="GU115" t="s">
        <v>3</v>
      </c>
      <c r="GV115">
        <f t="shared" si="115"/>
        <v>0</v>
      </c>
      <c r="GW115">
        <v>1</v>
      </c>
      <c r="GX115">
        <f t="shared" si="116"/>
        <v>0</v>
      </c>
      <c r="HA115">
        <v>0</v>
      </c>
      <c r="HB115">
        <v>0</v>
      </c>
      <c r="HC115">
        <f t="shared" si="117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D116">
        <f>ROW(EtalonRes!A20)</f>
        <v>20</v>
      </c>
      <c r="E116" t="s">
        <v>3</v>
      </c>
      <c r="F116" t="s">
        <v>113</v>
      </c>
      <c r="G116" t="s">
        <v>117</v>
      </c>
      <c r="H116" t="s">
        <v>32</v>
      </c>
      <c r="I116">
        <f>ROUND(1/10,9)</f>
        <v>0.1</v>
      </c>
      <c r="J116">
        <v>0</v>
      </c>
      <c r="K116">
        <f>ROUND(1/10,9)</f>
        <v>0.1</v>
      </c>
      <c r="O116">
        <f t="shared" si="83"/>
        <v>241.43</v>
      </c>
      <c r="P116">
        <f t="shared" si="84"/>
        <v>0</v>
      </c>
      <c r="Q116">
        <f t="shared" si="85"/>
        <v>0</v>
      </c>
      <c r="R116">
        <f t="shared" si="86"/>
        <v>0</v>
      </c>
      <c r="S116">
        <f t="shared" si="87"/>
        <v>241.43</v>
      </c>
      <c r="T116">
        <f t="shared" si="88"/>
        <v>0</v>
      </c>
      <c r="U116">
        <f t="shared" si="89"/>
        <v>0.39100000000000001</v>
      </c>
      <c r="V116">
        <f t="shared" si="90"/>
        <v>0</v>
      </c>
      <c r="W116">
        <f t="shared" si="91"/>
        <v>0</v>
      </c>
      <c r="X116">
        <f t="shared" si="92"/>
        <v>169</v>
      </c>
      <c r="Y116">
        <f t="shared" si="93"/>
        <v>24.14</v>
      </c>
      <c r="AA116">
        <v>-1</v>
      </c>
      <c r="AB116">
        <f t="shared" si="94"/>
        <v>2414.34</v>
      </c>
      <c r="AC116">
        <f>ROUND(((ES116*17)),6)</f>
        <v>0</v>
      </c>
      <c r="AD116">
        <f>ROUND(((((ET116*17))-((EU116*17)))+AE116),6)</f>
        <v>0</v>
      </c>
      <c r="AE116">
        <f t="shared" si="95"/>
        <v>0</v>
      </c>
      <c r="AF116">
        <f t="shared" si="95"/>
        <v>2414.34</v>
      </c>
      <c r="AG116">
        <f t="shared" si="96"/>
        <v>0</v>
      </c>
      <c r="AH116">
        <f t="shared" si="97"/>
        <v>3.91</v>
      </c>
      <c r="AI116">
        <f t="shared" si="97"/>
        <v>0</v>
      </c>
      <c r="AJ116">
        <f t="shared" si="98"/>
        <v>0</v>
      </c>
      <c r="AK116">
        <v>142.02000000000001</v>
      </c>
      <c r="AL116">
        <v>0</v>
      </c>
      <c r="AM116">
        <v>0</v>
      </c>
      <c r="AN116">
        <v>0</v>
      </c>
      <c r="AO116">
        <v>142.02000000000001</v>
      </c>
      <c r="AP116">
        <v>0</v>
      </c>
      <c r="AQ116">
        <v>0.23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115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9"/>
        <v>241.43</v>
      </c>
      <c r="CQ116">
        <f t="shared" si="100"/>
        <v>0</v>
      </c>
      <c r="CR116">
        <f>(((((ET116*17))*BB116-((EU116*17))*BS116)+AE116*BS116)*AV116)</f>
        <v>0</v>
      </c>
      <c r="CS116">
        <f t="shared" si="101"/>
        <v>0</v>
      </c>
      <c r="CT116">
        <f t="shared" si="102"/>
        <v>2414.34</v>
      </c>
      <c r="CU116">
        <f t="shared" si="103"/>
        <v>0</v>
      </c>
      <c r="CV116">
        <f t="shared" si="104"/>
        <v>3.91</v>
      </c>
      <c r="CW116">
        <f t="shared" si="105"/>
        <v>0</v>
      </c>
      <c r="CX116">
        <f t="shared" si="106"/>
        <v>0</v>
      </c>
      <c r="CY116">
        <f t="shared" si="107"/>
        <v>169.00100000000003</v>
      </c>
      <c r="CZ116">
        <f t="shared" si="108"/>
        <v>24.143000000000001</v>
      </c>
      <c r="DC116" t="s">
        <v>3</v>
      </c>
      <c r="DD116" t="s">
        <v>109</v>
      </c>
      <c r="DE116" t="s">
        <v>109</v>
      </c>
      <c r="DF116" t="s">
        <v>109</v>
      </c>
      <c r="DG116" t="s">
        <v>109</v>
      </c>
      <c r="DH116" t="s">
        <v>3</v>
      </c>
      <c r="DI116" t="s">
        <v>109</v>
      </c>
      <c r="DJ116" t="s">
        <v>109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32</v>
      </c>
      <c r="DW116" t="s">
        <v>32</v>
      </c>
      <c r="DX116">
        <v>10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21</v>
      </c>
      <c r="EH116">
        <v>0</v>
      </c>
      <c r="EI116" t="s">
        <v>3</v>
      </c>
      <c r="EJ116">
        <v>4</v>
      </c>
      <c r="EK116">
        <v>0</v>
      </c>
      <c r="EL116" t="s">
        <v>22</v>
      </c>
      <c r="EM116" t="s">
        <v>23</v>
      </c>
      <c r="EO116" t="s">
        <v>3</v>
      </c>
      <c r="EQ116">
        <v>1024</v>
      </c>
      <c r="ER116">
        <v>142.02000000000001</v>
      </c>
      <c r="ES116">
        <v>0</v>
      </c>
      <c r="ET116">
        <v>0</v>
      </c>
      <c r="EU116">
        <v>0</v>
      </c>
      <c r="EV116">
        <v>142.02000000000001</v>
      </c>
      <c r="EW116">
        <v>0.23</v>
      </c>
      <c r="EX116">
        <v>0</v>
      </c>
      <c r="EY116">
        <v>0</v>
      </c>
      <c r="FQ116">
        <v>0</v>
      </c>
      <c r="FR116">
        <f t="shared" si="109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1788200056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10"/>
        <v>0</v>
      </c>
      <c r="GM116">
        <f t="shared" si="111"/>
        <v>434.57</v>
      </c>
      <c r="GN116">
        <f t="shared" si="112"/>
        <v>0</v>
      </c>
      <c r="GO116">
        <f t="shared" si="113"/>
        <v>0</v>
      </c>
      <c r="GP116">
        <f t="shared" si="114"/>
        <v>434.57</v>
      </c>
      <c r="GR116">
        <v>0</v>
      </c>
      <c r="GS116">
        <v>3</v>
      </c>
      <c r="GT116">
        <v>0</v>
      </c>
      <c r="GU116" t="s">
        <v>3</v>
      </c>
      <c r="GV116">
        <f t="shared" si="115"/>
        <v>0</v>
      </c>
      <c r="GW116">
        <v>1</v>
      </c>
      <c r="GX116">
        <f t="shared" si="116"/>
        <v>0</v>
      </c>
      <c r="HA116">
        <v>0</v>
      </c>
      <c r="HB116">
        <v>0</v>
      </c>
      <c r="HC116">
        <f t="shared" si="117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ROW(EtalonRes!A25)</f>
        <v>25</v>
      </c>
      <c r="E117" t="s">
        <v>118</v>
      </c>
      <c r="F117" t="s">
        <v>119</v>
      </c>
      <c r="G117" t="s">
        <v>120</v>
      </c>
      <c r="H117" t="s">
        <v>121</v>
      </c>
      <c r="I117">
        <f>ROUND((10)/100,9)</f>
        <v>0.1</v>
      </c>
      <c r="J117">
        <v>0</v>
      </c>
      <c r="K117">
        <f>ROUND((10)/100,9)</f>
        <v>0.1</v>
      </c>
      <c r="O117">
        <f t="shared" si="83"/>
        <v>5377.38</v>
      </c>
      <c r="P117">
        <f t="shared" si="84"/>
        <v>77.66</v>
      </c>
      <c r="Q117">
        <f t="shared" si="85"/>
        <v>6.18</v>
      </c>
      <c r="R117">
        <f t="shared" si="86"/>
        <v>7.0000000000000007E-2</v>
      </c>
      <c r="S117">
        <f t="shared" si="87"/>
        <v>5293.54</v>
      </c>
      <c r="T117">
        <f t="shared" si="88"/>
        <v>0</v>
      </c>
      <c r="U117">
        <f t="shared" si="89"/>
        <v>10.444000000000001</v>
      </c>
      <c r="V117">
        <f t="shared" si="90"/>
        <v>0</v>
      </c>
      <c r="W117">
        <f t="shared" si="91"/>
        <v>0</v>
      </c>
      <c r="X117">
        <f t="shared" si="92"/>
        <v>3705.48</v>
      </c>
      <c r="Y117">
        <f t="shared" si="93"/>
        <v>529.35</v>
      </c>
      <c r="AA117">
        <v>1473080740</v>
      </c>
      <c r="AB117">
        <f t="shared" si="94"/>
        <v>53773.79</v>
      </c>
      <c r="AC117">
        <f>ROUND((ES117),6)</f>
        <v>776.55</v>
      </c>
      <c r="AD117">
        <f>ROUND((((ET117)-(EU117))+AE117),6)</f>
        <v>61.83</v>
      </c>
      <c r="AE117">
        <f t="shared" ref="AE117:AF120" si="118">ROUND((EU117),6)</f>
        <v>0.7</v>
      </c>
      <c r="AF117">
        <f t="shared" si="118"/>
        <v>52935.41</v>
      </c>
      <c r="AG117">
        <f t="shared" si="96"/>
        <v>0</v>
      </c>
      <c r="AH117">
        <f t="shared" ref="AH117:AI120" si="119">(EW117)</f>
        <v>104.44</v>
      </c>
      <c r="AI117">
        <f t="shared" si="119"/>
        <v>0</v>
      </c>
      <c r="AJ117">
        <f t="shared" si="98"/>
        <v>0</v>
      </c>
      <c r="AK117">
        <v>53773.79</v>
      </c>
      <c r="AL117">
        <v>776.55</v>
      </c>
      <c r="AM117">
        <v>61.83</v>
      </c>
      <c r="AN117">
        <v>0.7</v>
      </c>
      <c r="AO117">
        <v>52935.41</v>
      </c>
      <c r="AP117">
        <v>0</v>
      </c>
      <c r="AQ117">
        <v>104.44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122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9"/>
        <v>5377.38</v>
      </c>
      <c r="CQ117">
        <f t="shared" si="100"/>
        <v>776.55</v>
      </c>
      <c r="CR117">
        <f>((((ET117)*BB117-(EU117)*BS117)+AE117*BS117)*AV117)</f>
        <v>61.83</v>
      </c>
      <c r="CS117">
        <f t="shared" si="101"/>
        <v>0.7</v>
      </c>
      <c r="CT117">
        <f t="shared" si="102"/>
        <v>52935.41</v>
      </c>
      <c r="CU117">
        <f t="shared" si="103"/>
        <v>0</v>
      </c>
      <c r="CV117">
        <f t="shared" si="104"/>
        <v>104.44</v>
      </c>
      <c r="CW117">
        <f t="shared" si="105"/>
        <v>0</v>
      </c>
      <c r="CX117">
        <f t="shared" si="106"/>
        <v>0</v>
      </c>
      <c r="CY117">
        <f t="shared" si="107"/>
        <v>3705.4780000000001</v>
      </c>
      <c r="CZ117">
        <f t="shared" si="108"/>
        <v>529.35400000000004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16987630</v>
      </c>
      <c r="DV117" t="s">
        <v>121</v>
      </c>
      <c r="DW117" t="s">
        <v>121</v>
      </c>
      <c r="DX117">
        <v>100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21</v>
      </c>
      <c r="EH117">
        <v>0</v>
      </c>
      <c r="EI117" t="s">
        <v>3</v>
      </c>
      <c r="EJ117">
        <v>4</v>
      </c>
      <c r="EK117">
        <v>0</v>
      </c>
      <c r="EL117" t="s">
        <v>22</v>
      </c>
      <c r="EM117" t="s">
        <v>23</v>
      </c>
      <c r="EO117" t="s">
        <v>3</v>
      </c>
      <c r="EQ117">
        <v>0</v>
      </c>
      <c r="ER117">
        <v>53773.79</v>
      </c>
      <c r="ES117">
        <v>776.55</v>
      </c>
      <c r="ET117">
        <v>61.83</v>
      </c>
      <c r="EU117">
        <v>0.7</v>
      </c>
      <c r="EV117">
        <v>52935.41</v>
      </c>
      <c r="EW117">
        <v>104.44</v>
      </c>
      <c r="EX117">
        <v>0</v>
      </c>
      <c r="EY117">
        <v>0</v>
      </c>
      <c r="FQ117">
        <v>0</v>
      </c>
      <c r="FR117">
        <f t="shared" si="109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-36092940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0.08</v>
      </c>
      <c r="GL117">
        <f t="shared" si="110"/>
        <v>0</v>
      </c>
      <c r="GM117">
        <f t="shared" si="111"/>
        <v>9612.2900000000009</v>
      </c>
      <c r="GN117">
        <f t="shared" si="112"/>
        <v>0</v>
      </c>
      <c r="GO117">
        <f t="shared" si="113"/>
        <v>0</v>
      </c>
      <c r="GP117">
        <f t="shared" si="114"/>
        <v>9612.2900000000009</v>
      </c>
      <c r="GR117">
        <v>0</v>
      </c>
      <c r="GS117">
        <v>3</v>
      </c>
      <c r="GT117">
        <v>0</v>
      </c>
      <c r="GU117" t="s">
        <v>3</v>
      </c>
      <c r="GV117">
        <f t="shared" si="115"/>
        <v>0</v>
      </c>
      <c r="GW117">
        <v>1</v>
      </c>
      <c r="GX117">
        <f t="shared" si="116"/>
        <v>0</v>
      </c>
      <c r="HA117">
        <v>0</v>
      </c>
      <c r="HB117">
        <v>0</v>
      </c>
      <c r="HC117">
        <f t="shared" si="117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D118">
        <f>ROW(EtalonRes!A30)</f>
        <v>30</v>
      </c>
      <c r="E118" t="s">
        <v>123</v>
      </c>
      <c r="F118" t="s">
        <v>124</v>
      </c>
      <c r="G118" t="s">
        <v>125</v>
      </c>
      <c r="H118" t="s">
        <v>121</v>
      </c>
      <c r="I118">
        <f>ROUND(11/100,9)</f>
        <v>0.11</v>
      </c>
      <c r="J118">
        <v>0</v>
      </c>
      <c r="K118">
        <f>ROUND(11/100,9)</f>
        <v>0.11</v>
      </c>
      <c r="O118">
        <f t="shared" si="83"/>
        <v>8562.85</v>
      </c>
      <c r="P118">
        <f t="shared" si="84"/>
        <v>85.42</v>
      </c>
      <c r="Q118">
        <f t="shared" si="85"/>
        <v>6.8</v>
      </c>
      <c r="R118">
        <f t="shared" si="86"/>
        <v>0.08</v>
      </c>
      <c r="S118">
        <f t="shared" si="87"/>
        <v>8470.6299999999992</v>
      </c>
      <c r="T118">
        <f t="shared" si="88"/>
        <v>0</v>
      </c>
      <c r="U118">
        <f t="shared" si="89"/>
        <v>16.712300000000003</v>
      </c>
      <c r="V118">
        <f t="shared" si="90"/>
        <v>0</v>
      </c>
      <c r="W118">
        <f t="shared" si="91"/>
        <v>0</v>
      </c>
      <c r="X118">
        <f t="shared" si="92"/>
        <v>5929.44</v>
      </c>
      <c r="Y118">
        <f t="shared" si="93"/>
        <v>847.06</v>
      </c>
      <c r="AA118">
        <v>1473080740</v>
      </c>
      <c r="AB118">
        <f t="shared" si="94"/>
        <v>77844.100000000006</v>
      </c>
      <c r="AC118">
        <f>ROUND((ES118),6)</f>
        <v>776.55</v>
      </c>
      <c r="AD118">
        <f>ROUND((((ET118)-(EU118))+AE118),6)</f>
        <v>61.83</v>
      </c>
      <c r="AE118">
        <f t="shared" si="118"/>
        <v>0.7</v>
      </c>
      <c r="AF118">
        <f t="shared" si="118"/>
        <v>77005.72</v>
      </c>
      <c r="AG118">
        <f t="shared" si="96"/>
        <v>0</v>
      </c>
      <c r="AH118">
        <f t="shared" si="119"/>
        <v>151.93</v>
      </c>
      <c r="AI118">
        <f t="shared" si="119"/>
        <v>0</v>
      </c>
      <c r="AJ118">
        <f t="shared" si="98"/>
        <v>0</v>
      </c>
      <c r="AK118">
        <v>77844.100000000006</v>
      </c>
      <c r="AL118">
        <v>776.55</v>
      </c>
      <c r="AM118">
        <v>61.83</v>
      </c>
      <c r="AN118">
        <v>0.7</v>
      </c>
      <c r="AO118">
        <v>77005.72</v>
      </c>
      <c r="AP118">
        <v>0</v>
      </c>
      <c r="AQ118">
        <v>151.93</v>
      </c>
      <c r="AR118">
        <v>0</v>
      </c>
      <c r="AS118">
        <v>0</v>
      </c>
      <c r="AT118">
        <v>70</v>
      </c>
      <c r="AU118">
        <v>10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126</v>
      </c>
      <c r="BM118">
        <v>0</v>
      </c>
      <c r="BN118">
        <v>0</v>
      </c>
      <c r="BO118" t="s">
        <v>3</v>
      </c>
      <c r="BP118">
        <v>0</v>
      </c>
      <c r="BQ118">
        <v>1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70</v>
      </c>
      <c r="CA118">
        <v>10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9"/>
        <v>8562.8499999999985</v>
      </c>
      <c r="CQ118">
        <f t="shared" si="100"/>
        <v>776.55</v>
      </c>
      <c r="CR118">
        <f>((((ET118)*BB118-(EU118)*BS118)+AE118*BS118)*AV118)</f>
        <v>61.83</v>
      </c>
      <c r="CS118">
        <f t="shared" si="101"/>
        <v>0.7</v>
      </c>
      <c r="CT118">
        <f t="shared" si="102"/>
        <v>77005.72</v>
      </c>
      <c r="CU118">
        <f t="shared" si="103"/>
        <v>0</v>
      </c>
      <c r="CV118">
        <f t="shared" si="104"/>
        <v>151.93</v>
      </c>
      <c r="CW118">
        <f t="shared" si="105"/>
        <v>0</v>
      </c>
      <c r="CX118">
        <f t="shared" si="106"/>
        <v>0</v>
      </c>
      <c r="CY118">
        <f t="shared" si="107"/>
        <v>5929.4409999999998</v>
      </c>
      <c r="CZ118">
        <f t="shared" si="108"/>
        <v>847.06299999999987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16987630</v>
      </c>
      <c r="DV118" t="s">
        <v>121</v>
      </c>
      <c r="DW118" t="s">
        <v>121</v>
      </c>
      <c r="DX118">
        <v>100</v>
      </c>
      <c r="DZ118" t="s">
        <v>3</v>
      </c>
      <c r="EA118" t="s">
        <v>3</v>
      </c>
      <c r="EB118" t="s">
        <v>3</v>
      </c>
      <c r="EC118" t="s">
        <v>3</v>
      </c>
      <c r="EE118">
        <v>1441815344</v>
      </c>
      <c r="EF118">
        <v>1</v>
      </c>
      <c r="EG118" t="s">
        <v>21</v>
      </c>
      <c r="EH118">
        <v>0</v>
      </c>
      <c r="EI118" t="s">
        <v>3</v>
      </c>
      <c r="EJ118">
        <v>4</v>
      </c>
      <c r="EK118">
        <v>0</v>
      </c>
      <c r="EL118" t="s">
        <v>22</v>
      </c>
      <c r="EM118" t="s">
        <v>23</v>
      </c>
      <c r="EO118" t="s">
        <v>3</v>
      </c>
      <c r="EQ118">
        <v>0</v>
      </c>
      <c r="ER118">
        <v>77844.100000000006</v>
      </c>
      <c r="ES118">
        <v>776.55</v>
      </c>
      <c r="ET118">
        <v>61.83</v>
      </c>
      <c r="EU118">
        <v>0.7</v>
      </c>
      <c r="EV118">
        <v>77005.72</v>
      </c>
      <c r="EW118">
        <v>151.93</v>
      </c>
      <c r="EX118">
        <v>0</v>
      </c>
      <c r="EY118">
        <v>0</v>
      </c>
      <c r="FQ118">
        <v>0</v>
      </c>
      <c r="FR118">
        <f t="shared" si="109"/>
        <v>0</v>
      </c>
      <c r="FS118">
        <v>0</v>
      </c>
      <c r="FX118">
        <v>70</v>
      </c>
      <c r="FY118">
        <v>10</v>
      </c>
      <c r="GA118" t="s">
        <v>3</v>
      </c>
      <c r="GD118">
        <v>0</v>
      </c>
      <c r="GF118">
        <v>1944845796</v>
      </c>
      <c r="GG118">
        <v>2</v>
      </c>
      <c r="GH118">
        <v>1</v>
      </c>
      <c r="GI118">
        <v>-2</v>
      </c>
      <c r="GJ118">
        <v>0</v>
      </c>
      <c r="GK118">
        <f>ROUND(R118*(R12)/100,2)</f>
        <v>0.09</v>
      </c>
      <c r="GL118">
        <f t="shared" si="110"/>
        <v>0</v>
      </c>
      <c r="GM118">
        <f t="shared" si="111"/>
        <v>15339.44</v>
      </c>
      <c r="GN118">
        <f t="shared" si="112"/>
        <v>0</v>
      </c>
      <c r="GO118">
        <f t="shared" si="113"/>
        <v>0</v>
      </c>
      <c r="GP118">
        <f t="shared" si="114"/>
        <v>15339.44</v>
      </c>
      <c r="GR118">
        <v>0</v>
      </c>
      <c r="GS118">
        <v>3</v>
      </c>
      <c r="GT118">
        <v>0</v>
      </c>
      <c r="GU118" t="s">
        <v>3</v>
      </c>
      <c r="GV118">
        <f t="shared" si="115"/>
        <v>0</v>
      </c>
      <c r="GW118">
        <v>1</v>
      </c>
      <c r="GX118">
        <f t="shared" si="116"/>
        <v>0</v>
      </c>
      <c r="HA118">
        <v>0</v>
      </c>
      <c r="HB118">
        <v>0</v>
      </c>
      <c r="HC118">
        <f t="shared" si="117"/>
        <v>0</v>
      </c>
      <c r="HE118" t="s">
        <v>3</v>
      </c>
      <c r="HF118" t="s">
        <v>3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IK118">
        <v>0</v>
      </c>
    </row>
    <row r="119" spans="1:245" x14ac:dyDescent="0.2">
      <c r="A119">
        <v>17</v>
      </c>
      <c r="B119">
        <v>1</v>
      </c>
      <c r="D119">
        <f>ROW(EtalonRes!A32)</f>
        <v>32</v>
      </c>
      <c r="E119" t="s">
        <v>127</v>
      </c>
      <c r="F119" t="s">
        <v>128</v>
      </c>
      <c r="G119" t="s">
        <v>129</v>
      </c>
      <c r="H119" t="s">
        <v>18</v>
      </c>
      <c r="I119">
        <f>ROUND(2+8+1+1,9)</f>
        <v>12</v>
      </c>
      <c r="J119">
        <v>0</v>
      </c>
      <c r="K119">
        <f>ROUND(2+8+1+1,9)</f>
        <v>12</v>
      </c>
      <c r="O119">
        <f t="shared" si="83"/>
        <v>3434.16</v>
      </c>
      <c r="P119">
        <f t="shared" si="84"/>
        <v>0</v>
      </c>
      <c r="Q119">
        <f t="shared" si="85"/>
        <v>938.16</v>
      </c>
      <c r="R119">
        <f t="shared" si="86"/>
        <v>594.84</v>
      </c>
      <c r="S119">
        <f t="shared" si="87"/>
        <v>2496</v>
      </c>
      <c r="T119">
        <f t="shared" si="88"/>
        <v>0</v>
      </c>
      <c r="U119">
        <f t="shared" si="89"/>
        <v>4.4399999999999995</v>
      </c>
      <c r="V119">
        <f t="shared" si="90"/>
        <v>0</v>
      </c>
      <c r="W119">
        <f t="shared" si="91"/>
        <v>0</v>
      </c>
      <c r="X119">
        <f t="shared" si="92"/>
        <v>1747.2</v>
      </c>
      <c r="Y119">
        <f t="shared" si="93"/>
        <v>249.6</v>
      </c>
      <c r="AA119">
        <v>1473080740</v>
      </c>
      <c r="AB119">
        <f t="shared" si="94"/>
        <v>286.18</v>
      </c>
      <c r="AC119">
        <f>ROUND((ES119),6)</f>
        <v>0</v>
      </c>
      <c r="AD119">
        <f>ROUND((((ET119)-(EU119))+AE119),6)</f>
        <v>78.180000000000007</v>
      </c>
      <c r="AE119">
        <f t="shared" si="118"/>
        <v>49.57</v>
      </c>
      <c r="AF119">
        <f t="shared" si="118"/>
        <v>208</v>
      </c>
      <c r="AG119">
        <f t="shared" si="96"/>
        <v>0</v>
      </c>
      <c r="AH119">
        <f t="shared" si="119"/>
        <v>0.37</v>
      </c>
      <c r="AI119">
        <f t="shared" si="119"/>
        <v>0</v>
      </c>
      <c r="AJ119">
        <f t="shared" si="98"/>
        <v>0</v>
      </c>
      <c r="AK119">
        <v>286.18</v>
      </c>
      <c r="AL119">
        <v>0</v>
      </c>
      <c r="AM119">
        <v>78.180000000000007</v>
      </c>
      <c r="AN119">
        <v>49.57</v>
      </c>
      <c r="AO119">
        <v>208</v>
      </c>
      <c r="AP119">
        <v>0</v>
      </c>
      <c r="AQ119">
        <v>0.37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130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9"/>
        <v>3434.16</v>
      </c>
      <c r="CQ119">
        <f t="shared" si="100"/>
        <v>0</v>
      </c>
      <c r="CR119">
        <f>((((ET119)*BB119-(EU119)*BS119)+AE119*BS119)*AV119)</f>
        <v>78.180000000000007</v>
      </c>
      <c r="CS119">
        <f t="shared" si="101"/>
        <v>49.57</v>
      </c>
      <c r="CT119">
        <f t="shared" si="102"/>
        <v>208</v>
      </c>
      <c r="CU119">
        <f t="shared" si="103"/>
        <v>0</v>
      </c>
      <c r="CV119">
        <f t="shared" si="104"/>
        <v>0.37</v>
      </c>
      <c r="CW119">
        <f t="shared" si="105"/>
        <v>0</v>
      </c>
      <c r="CX119">
        <f t="shared" si="106"/>
        <v>0</v>
      </c>
      <c r="CY119">
        <f t="shared" si="107"/>
        <v>1747.2</v>
      </c>
      <c r="CZ119">
        <f t="shared" si="108"/>
        <v>249.6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16987630</v>
      </c>
      <c r="DV119" t="s">
        <v>18</v>
      </c>
      <c r="DW119" t="s">
        <v>18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1441815344</v>
      </c>
      <c r="EF119">
        <v>1</v>
      </c>
      <c r="EG119" t="s">
        <v>21</v>
      </c>
      <c r="EH119">
        <v>0</v>
      </c>
      <c r="EI119" t="s">
        <v>3</v>
      </c>
      <c r="EJ119">
        <v>4</v>
      </c>
      <c r="EK119">
        <v>0</v>
      </c>
      <c r="EL119" t="s">
        <v>22</v>
      </c>
      <c r="EM119" t="s">
        <v>23</v>
      </c>
      <c r="EO119" t="s">
        <v>3</v>
      </c>
      <c r="EQ119">
        <v>0</v>
      </c>
      <c r="ER119">
        <v>286.18</v>
      </c>
      <c r="ES119">
        <v>0</v>
      </c>
      <c r="ET119">
        <v>78.180000000000007</v>
      </c>
      <c r="EU119">
        <v>49.57</v>
      </c>
      <c r="EV119">
        <v>208</v>
      </c>
      <c r="EW119">
        <v>0.37</v>
      </c>
      <c r="EX119">
        <v>0</v>
      </c>
      <c r="EY119">
        <v>0</v>
      </c>
      <c r="FQ119">
        <v>0</v>
      </c>
      <c r="FR119">
        <f t="shared" si="109"/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1847185321</v>
      </c>
      <c r="GG119">
        <v>2</v>
      </c>
      <c r="GH119">
        <v>1</v>
      </c>
      <c r="GI119">
        <v>-2</v>
      </c>
      <c r="GJ119">
        <v>0</v>
      </c>
      <c r="GK119">
        <f>ROUND(R119*(R12)/100,2)</f>
        <v>642.42999999999995</v>
      </c>
      <c r="GL119">
        <f t="shared" si="110"/>
        <v>0</v>
      </c>
      <c r="GM119">
        <f t="shared" si="111"/>
        <v>6073.39</v>
      </c>
      <c r="GN119">
        <f t="shared" si="112"/>
        <v>0</v>
      </c>
      <c r="GO119">
        <f t="shared" si="113"/>
        <v>0</v>
      </c>
      <c r="GP119">
        <f t="shared" si="114"/>
        <v>6073.39</v>
      </c>
      <c r="GR119">
        <v>0</v>
      </c>
      <c r="GS119">
        <v>3</v>
      </c>
      <c r="GT119">
        <v>0</v>
      </c>
      <c r="GU119" t="s">
        <v>3</v>
      </c>
      <c r="GV119">
        <f t="shared" si="115"/>
        <v>0</v>
      </c>
      <c r="GW119">
        <v>1</v>
      </c>
      <c r="GX119">
        <f t="shared" si="116"/>
        <v>0</v>
      </c>
      <c r="HA119">
        <v>0</v>
      </c>
      <c r="HB119">
        <v>0</v>
      </c>
      <c r="HC119">
        <f t="shared" si="117"/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D120">
        <f>ROW(EtalonRes!A33)</f>
        <v>33</v>
      </c>
      <c r="E120" t="s">
        <v>131</v>
      </c>
      <c r="F120" t="s">
        <v>132</v>
      </c>
      <c r="G120" t="s">
        <v>133</v>
      </c>
      <c r="H120" t="s">
        <v>134</v>
      </c>
      <c r="I120">
        <f>ROUND(11/100,9)</f>
        <v>0.11</v>
      </c>
      <c r="J120">
        <v>0</v>
      </c>
      <c r="K120">
        <f>ROUND(11/100,9)</f>
        <v>0.11</v>
      </c>
      <c r="O120">
        <f t="shared" si="83"/>
        <v>1748.57</v>
      </c>
      <c r="P120">
        <f t="shared" si="84"/>
        <v>0</v>
      </c>
      <c r="Q120">
        <f t="shared" si="85"/>
        <v>0</v>
      </c>
      <c r="R120">
        <f t="shared" si="86"/>
        <v>0</v>
      </c>
      <c r="S120">
        <f t="shared" si="87"/>
        <v>1748.57</v>
      </c>
      <c r="T120">
        <f t="shared" si="88"/>
        <v>0</v>
      </c>
      <c r="U120">
        <f t="shared" si="89"/>
        <v>2.9369999999999998</v>
      </c>
      <c r="V120">
        <f t="shared" si="90"/>
        <v>0</v>
      </c>
      <c r="W120">
        <f t="shared" si="91"/>
        <v>0</v>
      </c>
      <c r="X120">
        <f t="shared" si="92"/>
        <v>1224</v>
      </c>
      <c r="Y120">
        <f t="shared" si="93"/>
        <v>174.86</v>
      </c>
      <c r="AA120">
        <v>1473080740</v>
      </c>
      <c r="AB120">
        <f t="shared" si="94"/>
        <v>15896.11</v>
      </c>
      <c r="AC120">
        <f>ROUND((ES120),6)</f>
        <v>0</v>
      </c>
      <c r="AD120">
        <f>ROUND((((ET120)-(EU120))+AE120),6)</f>
        <v>0</v>
      </c>
      <c r="AE120">
        <f t="shared" si="118"/>
        <v>0</v>
      </c>
      <c r="AF120">
        <f t="shared" si="118"/>
        <v>15896.11</v>
      </c>
      <c r="AG120">
        <f t="shared" si="96"/>
        <v>0</v>
      </c>
      <c r="AH120">
        <f t="shared" si="119"/>
        <v>26.7</v>
      </c>
      <c r="AI120">
        <f t="shared" si="119"/>
        <v>0</v>
      </c>
      <c r="AJ120">
        <f t="shared" si="98"/>
        <v>0</v>
      </c>
      <c r="AK120">
        <v>15896.11</v>
      </c>
      <c r="AL120">
        <v>0</v>
      </c>
      <c r="AM120">
        <v>0</v>
      </c>
      <c r="AN120">
        <v>0</v>
      </c>
      <c r="AO120">
        <v>15896.11</v>
      </c>
      <c r="AP120">
        <v>0</v>
      </c>
      <c r="AQ120">
        <v>26.7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135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99"/>
        <v>1748.57</v>
      </c>
      <c r="CQ120">
        <f t="shared" si="100"/>
        <v>0</v>
      </c>
      <c r="CR120">
        <f>((((ET120)*BB120-(EU120)*BS120)+AE120*BS120)*AV120)</f>
        <v>0</v>
      </c>
      <c r="CS120">
        <f t="shared" si="101"/>
        <v>0</v>
      </c>
      <c r="CT120">
        <f t="shared" si="102"/>
        <v>15896.11</v>
      </c>
      <c r="CU120">
        <f t="shared" si="103"/>
        <v>0</v>
      </c>
      <c r="CV120">
        <f t="shared" si="104"/>
        <v>26.7</v>
      </c>
      <c r="CW120">
        <f t="shared" si="105"/>
        <v>0</v>
      </c>
      <c r="CX120">
        <f t="shared" si="106"/>
        <v>0</v>
      </c>
      <c r="CY120">
        <f t="shared" si="107"/>
        <v>1223.999</v>
      </c>
      <c r="CZ120">
        <f t="shared" si="108"/>
        <v>174.857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134</v>
      </c>
      <c r="DW120" t="s">
        <v>134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21</v>
      </c>
      <c r="EH120">
        <v>0</v>
      </c>
      <c r="EI120" t="s">
        <v>3</v>
      </c>
      <c r="EJ120">
        <v>4</v>
      </c>
      <c r="EK120">
        <v>0</v>
      </c>
      <c r="EL120" t="s">
        <v>22</v>
      </c>
      <c r="EM120" t="s">
        <v>23</v>
      </c>
      <c r="EO120" t="s">
        <v>3</v>
      </c>
      <c r="EQ120">
        <v>0</v>
      </c>
      <c r="ER120">
        <v>15896.11</v>
      </c>
      <c r="ES120">
        <v>0</v>
      </c>
      <c r="ET120">
        <v>0</v>
      </c>
      <c r="EU120">
        <v>0</v>
      </c>
      <c r="EV120">
        <v>15896.11</v>
      </c>
      <c r="EW120">
        <v>26.7</v>
      </c>
      <c r="EX120">
        <v>0</v>
      </c>
      <c r="EY120">
        <v>0</v>
      </c>
      <c r="FQ120">
        <v>0</v>
      </c>
      <c r="FR120">
        <f t="shared" si="109"/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-1089660975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10"/>
        <v>0</v>
      </c>
      <c r="GM120">
        <f t="shared" si="111"/>
        <v>3147.43</v>
      </c>
      <c r="GN120">
        <f t="shared" si="112"/>
        <v>0</v>
      </c>
      <c r="GO120">
        <f t="shared" si="113"/>
        <v>0</v>
      </c>
      <c r="GP120">
        <f t="shared" si="114"/>
        <v>3147.43</v>
      </c>
      <c r="GR120">
        <v>0</v>
      </c>
      <c r="GS120">
        <v>3</v>
      </c>
      <c r="GT120">
        <v>0</v>
      </c>
      <c r="GU120" t="s">
        <v>3</v>
      </c>
      <c r="GV120">
        <f t="shared" si="115"/>
        <v>0</v>
      </c>
      <c r="GW120">
        <v>1</v>
      </c>
      <c r="GX120">
        <f t="shared" si="116"/>
        <v>0</v>
      </c>
      <c r="HA120">
        <v>0</v>
      </c>
      <c r="HB120">
        <v>0</v>
      </c>
      <c r="HC120">
        <f t="shared" si="117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D121">
        <f>ROW(EtalonRes!A35)</f>
        <v>35</v>
      </c>
      <c r="E121" t="s">
        <v>136</v>
      </c>
      <c r="F121" t="s">
        <v>137</v>
      </c>
      <c r="G121" t="s">
        <v>138</v>
      </c>
      <c r="H121" t="s">
        <v>121</v>
      </c>
      <c r="I121">
        <f>ROUND((10+1+1)/100,9)</f>
        <v>0.12</v>
      </c>
      <c r="J121">
        <v>0</v>
      </c>
      <c r="K121">
        <f>ROUND((10+1+1)/100,9)</f>
        <v>0.12</v>
      </c>
      <c r="O121">
        <f t="shared" si="83"/>
        <v>6933.84</v>
      </c>
      <c r="P121">
        <f t="shared" si="84"/>
        <v>116.91</v>
      </c>
      <c r="Q121">
        <f t="shared" si="85"/>
        <v>0</v>
      </c>
      <c r="R121">
        <f t="shared" si="86"/>
        <v>0</v>
      </c>
      <c r="S121">
        <f t="shared" si="87"/>
        <v>6816.93</v>
      </c>
      <c r="T121">
        <f t="shared" si="88"/>
        <v>0</v>
      </c>
      <c r="U121">
        <f t="shared" si="89"/>
        <v>13.449599999999998</v>
      </c>
      <c r="V121">
        <f t="shared" si="90"/>
        <v>0</v>
      </c>
      <c r="W121">
        <f t="shared" si="91"/>
        <v>0</v>
      </c>
      <c r="X121">
        <f t="shared" si="92"/>
        <v>4771.8500000000004</v>
      </c>
      <c r="Y121">
        <f t="shared" si="93"/>
        <v>681.69</v>
      </c>
      <c r="AA121">
        <v>1473080740</v>
      </c>
      <c r="AB121">
        <f t="shared" si="94"/>
        <v>57782.04</v>
      </c>
      <c r="AC121">
        <f>ROUND(((ES121*4)),6)</f>
        <v>974.28</v>
      </c>
      <c r="AD121">
        <f>ROUND(((((ET121*4))-((EU121*4)))+AE121),6)</f>
        <v>0</v>
      </c>
      <c r="AE121">
        <f>ROUND(((EU121*4)),6)</f>
        <v>0</v>
      </c>
      <c r="AF121">
        <f>ROUND(((EV121*4)),6)</f>
        <v>56807.76</v>
      </c>
      <c r="AG121">
        <f t="shared" si="96"/>
        <v>0</v>
      </c>
      <c r="AH121">
        <f>((EW121*4))</f>
        <v>112.08</v>
      </c>
      <c r="AI121">
        <f>((EX121*4))</f>
        <v>0</v>
      </c>
      <c r="AJ121">
        <f t="shared" si="98"/>
        <v>0</v>
      </c>
      <c r="AK121">
        <v>14445.51</v>
      </c>
      <c r="AL121">
        <v>243.57</v>
      </c>
      <c r="AM121">
        <v>0</v>
      </c>
      <c r="AN121">
        <v>0</v>
      </c>
      <c r="AO121">
        <v>14201.94</v>
      </c>
      <c r="AP121">
        <v>0</v>
      </c>
      <c r="AQ121">
        <v>28.02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139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99"/>
        <v>6933.84</v>
      </c>
      <c r="CQ121">
        <f t="shared" si="100"/>
        <v>974.28</v>
      </c>
      <c r="CR121">
        <f>(((((ET121*4))*BB121-((EU121*4))*BS121)+AE121*BS121)*AV121)</f>
        <v>0</v>
      </c>
      <c r="CS121">
        <f t="shared" si="101"/>
        <v>0</v>
      </c>
      <c r="CT121">
        <f t="shared" si="102"/>
        <v>56807.76</v>
      </c>
      <c r="CU121">
        <f t="shared" si="103"/>
        <v>0</v>
      </c>
      <c r="CV121">
        <f t="shared" si="104"/>
        <v>112.08</v>
      </c>
      <c r="CW121">
        <f t="shared" si="105"/>
        <v>0</v>
      </c>
      <c r="CX121">
        <f t="shared" si="106"/>
        <v>0</v>
      </c>
      <c r="CY121">
        <f t="shared" si="107"/>
        <v>4771.8510000000006</v>
      </c>
      <c r="CZ121">
        <f t="shared" si="108"/>
        <v>681.69299999999998</v>
      </c>
      <c r="DC121" t="s">
        <v>3</v>
      </c>
      <c r="DD121" t="s">
        <v>28</v>
      </c>
      <c r="DE121" t="s">
        <v>28</v>
      </c>
      <c r="DF121" t="s">
        <v>28</v>
      </c>
      <c r="DG121" t="s">
        <v>28</v>
      </c>
      <c r="DH121" t="s">
        <v>3</v>
      </c>
      <c r="DI121" t="s">
        <v>28</v>
      </c>
      <c r="DJ121" t="s">
        <v>28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121</v>
      </c>
      <c r="DW121" t="s">
        <v>121</v>
      </c>
      <c r="DX121">
        <v>100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21</v>
      </c>
      <c r="EH121">
        <v>0</v>
      </c>
      <c r="EI121" t="s">
        <v>3</v>
      </c>
      <c r="EJ121">
        <v>4</v>
      </c>
      <c r="EK121">
        <v>0</v>
      </c>
      <c r="EL121" t="s">
        <v>22</v>
      </c>
      <c r="EM121" t="s">
        <v>23</v>
      </c>
      <c r="EO121" t="s">
        <v>3</v>
      </c>
      <c r="EQ121">
        <v>0</v>
      </c>
      <c r="ER121">
        <v>14445.51</v>
      </c>
      <c r="ES121">
        <v>243.57</v>
      </c>
      <c r="ET121">
        <v>0</v>
      </c>
      <c r="EU121">
        <v>0</v>
      </c>
      <c r="EV121">
        <v>14201.94</v>
      </c>
      <c r="EW121">
        <v>28.02</v>
      </c>
      <c r="EX121">
        <v>0</v>
      </c>
      <c r="EY121">
        <v>0</v>
      </c>
      <c r="FQ121">
        <v>0</v>
      </c>
      <c r="FR121">
        <f t="shared" si="109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1586733399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si="110"/>
        <v>0</v>
      </c>
      <c r="GM121">
        <f t="shared" si="111"/>
        <v>12387.38</v>
      </c>
      <c r="GN121">
        <f t="shared" si="112"/>
        <v>0</v>
      </c>
      <c r="GO121">
        <f t="shared" si="113"/>
        <v>0</v>
      </c>
      <c r="GP121">
        <f t="shared" si="114"/>
        <v>12387.38</v>
      </c>
      <c r="GR121">
        <v>0</v>
      </c>
      <c r="GS121">
        <v>3</v>
      </c>
      <c r="GT121">
        <v>0</v>
      </c>
      <c r="GU121" t="s">
        <v>3</v>
      </c>
      <c r="GV121">
        <f t="shared" si="115"/>
        <v>0</v>
      </c>
      <c r="GW121">
        <v>1</v>
      </c>
      <c r="GX121">
        <f t="shared" si="116"/>
        <v>0</v>
      </c>
      <c r="HA121">
        <v>0</v>
      </c>
      <c r="HB121">
        <v>0</v>
      </c>
      <c r="HC121">
        <f t="shared" si="117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C122">
        <f>ROW(SmtRes!A7)</f>
        <v>7</v>
      </c>
      <c r="D122">
        <f>ROW(EtalonRes!A37)</f>
        <v>37</v>
      </c>
      <c r="E122" t="s">
        <v>3</v>
      </c>
      <c r="F122" t="s">
        <v>137</v>
      </c>
      <c r="G122" t="s">
        <v>140</v>
      </c>
      <c r="H122" t="s">
        <v>121</v>
      </c>
      <c r="I122">
        <f>ROUND((10+1+1)/100,9)</f>
        <v>0.12</v>
      </c>
      <c r="J122">
        <v>0</v>
      </c>
      <c r="K122">
        <f>ROUND((10+1+1)/100,9)</f>
        <v>0.12</v>
      </c>
      <c r="O122">
        <f t="shared" si="83"/>
        <v>1733.46</v>
      </c>
      <c r="P122">
        <f t="shared" si="84"/>
        <v>29.23</v>
      </c>
      <c r="Q122">
        <f t="shared" si="85"/>
        <v>0</v>
      </c>
      <c r="R122">
        <f t="shared" si="86"/>
        <v>0</v>
      </c>
      <c r="S122">
        <f t="shared" si="87"/>
        <v>1704.23</v>
      </c>
      <c r="T122">
        <f t="shared" si="88"/>
        <v>0</v>
      </c>
      <c r="U122">
        <f t="shared" si="89"/>
        <v>3.3623999999999996</v>
      </c>
      <c r="V122">
        <f t="shared" si="90"/>
        <v>0</v>
      </c>
      <c r="W122">
        <f t="shared" si="91"/>
        <v>0</v>
      </c>
      <c r="X122">
        <f t="shared" si="92"/>
        <v>1192.96</v>
      </c>
      <c r="Y122">
        <f t="shared" si="93"/>
        <v>170.42</v>
      </c>
      <c r="AA122">
        <v>-1</v>
      </c>
      <c r="AB122">
        <f t="shared" si="94"/>
        <v>14445.51</v>
      </c>
      <c r="AC122">
        <f>ROUND((ES122),6)</f>
        <v>243.57</v>
      </c>
      <c r="AD122">
        <f>ROUND((((ET122)-(EU122))+AE122),6)</f>
        <v>0</v>
      </c>
      <c r="AE122">
        <f>ROUND((EU122),6)</f>
        <v>0</v>
      </c>
      <c r="AF122">
        <f>ROUND((EV122),6)</f>
        <v>14201.94</v>
      </c>
      <c r="AG122">
        <f t="shared" si="96"/>
        <v>0</v>
      </c>
      <c r="AH122">
        <f>(EW122)</f>
        <v>28.02</v>
      </c>
      <c r="AI122">
        <f>(EX122)</f>
        <v>0</v>
      </c>
      <c r="AJ122">
        <f t="shared" si="98"/>
        <v>0</v>
      </c>
      <c r="AK122">
        <v>14445.51</v>
      </c>
      <c r="AL122">
        <v>243.57</v>
      </c>
      <c r="AM122">
        <v>0</v>
      </c>
      <c r="AN122">
        <v>0</v>
      </c>
      <c r="AO122">
        <v>14201.94</v>
      </c>
      <c r="AP122">
        <v>0</v>
      </c>
      <c r="AQ122">
        <v>28.02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139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99"/>
        <v>1733.46</v>
      </c>
      <c r="CQ122">
        <f t="shared" si="100"/>
        <v>243.57</v>
      </c>
      <c r="CR122">
        <f>((((ET122)*BB122-(EU122)*BS122)+AE122*BS122)*AV122)</f>
        <v>0</v>
      </c>
      <c r="CS122">
        <f t="shared" si="101"/>
        <v>0</v>
      </c>
      <c r="CT122">
        <f t="shared" si="102"/>
        <v>14201.94</v>
      </c>
      <c r="CU122">
        <f t="shared" si="103"/>
        <v>0</v>
      </c>
      <c r="CV122">
        <f t="shared" si="104"/>
        <v>28.02</v>
      </c>
      <c r="CW122">
        <f t="shared" si="105"/>
        <v>0</v>
      </c>
      <c r="CX122">
        <f t="shared" si="106"/>
        <v>0</v>
      </c>
      <c r="CY122">
        <f t="shared" si="107"/>
        <v>1192.961</v>
      </c>
      <c r="CZ122">
        <f t="shared" si="108"/>
        <v>170.423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16987630</v>
      </c>
      <c r="DV122" t="s">
        <v>121</v>
      </c>
      <c r="DW122" t="s">
        <v>121</v>
      </c>
      <c r="DX122">
        <v>100</v>
      </c>
      <c r="DZ122" t="s">
        <v>3</v>
      </c>
      <c r="EA122" t="s">
        <v>3</v>
      </c>
      <c r="EB122" t="s">
        <v>3</v>
      </c>
      <c r="EC122" t="s">
        <v>3</v>
      </c>
      <c r="EE122">
        <v>1441815344</v>
      </c>
      <c r="EF122">
        <v>1</v>
      </c>
      <c r="EG122" t="s">
        <v>21</v>
      </c>
      <c r="EH122">
        <v>0</v>
      </c>
      <c r="EI122" t="s">
        <v>3</v>
      </c>
      <c r="EJ122">
        <v>4</v>
      </c>
      <c r="EK122">
        <v>0</v>
      </c>
      <c r="EL122" t="s">
        <v>22</v>
      </c>
      <c r="EM122" t="s">
        <v>23</v>
      </c>
      <c r="EO122" t="s">
        <v>3</v>
      </c>
      <c r="EQ122">
        <v>1024</v>
      </c>
      <c r="ER122">
        <v>14445.51</v>
      </c>
      <c r="ES122">
        <v>243.57</v>
      </c>
      <c r="ET122">
        <v>0</v>
      </c>
      <c r="EU122">
        <v>0</v>
      </c>
      <c r="EV122">
        <v>14201.94</v>
      </c>
      <c r="EW122">
        <v>28.02</v>
      </c>
      <c r="EX122">
        <v>0</v>
      </c>
      <c r="EY122">
        <v>0</v>
      </c>
      <c r="FQ122">
        <v>0</v>
      </c>
      <c r="FR122">
        <f t="shared" si="109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-1658885276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</v>
      </c>
      <c r="GL122">
        <f t="shared" si="110"/>
        <v>0</v>
      </c>
      <c r="GM122">
        <f t="shared" si="111"/>
        <v>3096.84</v>
      </c>
      <c r="GN122">
        <f t="shared" si="112"/>
        <v>0</v>
      </c>
      <c r="GO122">
        <f t="shared" si="113"/>
        <v>0</v>
      </c>
      <c r="GP122">
        <f t="shared" si="114"/>
        <v>3096.84</v>
      </c>
      <c r="GR122">
        <v>0</v>
      </c>
      <c r="GS122">
        <v>3</v>
      </c>
      <c r="GT122">
        <v>0</v>
      </c>
      <c r="GU122" t="s">
        <v>3</v>
      </c>
      <c r="GV122">
        <f t="shared" si="115"/>
        <v>0</v>
      </c>
      <c r="GW122">
        <v>1</v>
      </c>
      <c r="GX122">
        <f t="shared" si="116"/>
        <v>0</v>
      </c>
      <c r="HA122">
        <v>0</v>
      </c>
      <c r="HB122">
        <v>0</v>
      </c>
      <c r="HC122">
        <f t="shared" si="117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4" spans="1:245" x14ac:dyDescent="0.2">
      <c r="A124" s="2">
        <v>51</v>
      </c>
      <c r="B124" s="2">
        <f>B108</f>
        <v>1</v>
      </c>
      <c r="C124" s="2">
        <f>A108</f>
        <v>5</v>
      </c>
      <c r="D124" s="2">
        <f>ROW(A108)</f>
        <v>108</v>
      </c>
      <c r="E124" s="2"/>
      <c r="F124" s="2" t="str">
        <f>IF(F108&lt;&gt;"",F108,"")</f>
        <v>Новый подраздел</v>
      </c>
      <c r="G124" s="2" t="str">
        <f>IF(G108&lt;&gt;"",G108,"")</f>
        <v>Сантехприборы и оборудование</v>
      </c>
      <c r="H124" s="2">
        <v>0</v>
      </c>
      <c r="I124" s="2"/>
      <c r="J124" s="2"/>
      <c r="K124" s="2"/>
      <c r="L124" s="2"/>
      <c r="M124" s="2"/>
      <c r="N124" s="2"/>
      <c r="O124" s="2">
        <f t="shared" ref="O124:T124" si="120">ROUND(AB124,2)</f>
        <v>26056.799999999999</v>
      </c>
      <c r="P124" s="2">
        <f t="shared" si="120"/>
        <v>279.99</v>
      </c>
      <c r="Q124" s="2">
        <f t="shared" si="120"/>
        <v>951.14</v>
      </c>
      <c r="R124" s="2">
        <f t="shared" si="120"/>
        <v>594.99</v>
      </c>
      <c r="S124" s="2">
        <f t="shared" si="120"/>
        <v>24825.67</v>
      </c>
      <c r="T124" s="2">
        <f t="shared" si="120"/>
        <v>0</v>
      </c>
      <c r="U124" s="2">
        <f>AH124</f>
        <v>47.982899999999994</v>
      </c>
      <c r="V124" s="2">
        <f>AI124</f>
        <v>0</v>
      </c>
      <c r="W124" s="2">
        <f>ROUND(AJ124,2)</f>
        <v>0</v>
      </c>
      <c r="X124" s="2">
        <f>ROUND(AK124,2)</f>
        <v>17377.97</v>
      </c>
      <c r="Y124" s="2">
        <f>ROUND(AL124,2)</f>
        <v>2482.56</v>
      </c>
      <c r="Z124" s="2"/>
      <c r="AA124" s="2"/>
      <c r="AB124" s="2">
        <f>ROUND(SUMIF(AA112:AA122,"=1473080740",O112:O122),2)</f>
        <v>26056.799999999999</v>
      </c>
      <c r="AC124" s="2">
        <f>ROUND(SUMIF(AA112:AA122,"=1473080740",P112:P122),2)</f>
        <v>279.99</v>
      </c>
      <c r="AD124" s="2">
        <f>ROUND(SUMIF(AA112:AA122,"=1473080740",Q112:Q122),2)</f>
        <v>951.14</v>
      </c>
      <c r="AE124" s="2">
        <f>ROUND(SUMIF(AA112:AA122,"=1473080740",R112:R122),2)</f>
        <v>594.99</v>
      </c>
      <c r="AF124" s="2">
        <f>ROUND(SUMIF(AA112:AA122,"=1473080740",S112:S122),2)</f>
        <v>24825.67</v>
      </c>
      <c r="AG124" s="2">
        <f>ROUND(SUMIF(AA112:AA122,"=1473080740",T112:T122),2)</f>
        <v>0</v>
      </c>
      <c r="AH124" s="2">
        <f>SUMIF(AA112:AA122,"=1473080740",U112:U122)</f>
        <v>47.982899999999994</v>
      </c>
      <c r="AI124" s="2">
        <f>SUMIF(AA112:AA122,"=1473080740",V112:V122)</f>
        <v>0</v>
      </c>
      <c r="AJ124" s="2">
        <f>ROUND(SUMIF(AA112:AA122,"=1473080740",W112:W122),2)</f>
        <v>0</v>
      </c>
      <c r="AK124" s="2">
        <f>ROUND(SUMIF(AA112:AA122,"=1473080740",X112:X122),2)</f>
        <v>17377.97</v>
      </c>
      <c r="AL124" s="2">
        <f>ROUND(SUMIF(AA112:AA122,"=1473080740",Y112:Y122),2)</f>
        <v>2482.56</v>
      </c>
      <c r="AM124" s="2"/>
      <c r="AN124" s="2"/>
      <c r="AO124" s="2">
        <f t="shared" ref="AO124:BD124" si="121">ROUND(BX124,2)</f>
        <v>0</v>
      </c>
      <c r="AP124" s="2">
        <f t="shared" si="121"/>
        <v>0</v>
      </c>
      <c r="AQ124" s="2">
        <f t="shared" si="121"/>
        <v>0</v>
      </c>
      <c r="AR124" s="2">
        <f t="shared" si="121"/>
        <v>46559.93</v>
      </c>
      <c r="AS124" s="2">
        <f t="shared" si="121"/>
        <v>0</v>
      </c>
      <c r="AT124" s="2">
        <f t="shared" si="121"/>
        <v>0</v>
      </c>
      <c r="AU124" s="2">
        <f t="shared" si="121"/>
        <v>46559.93</v>
      </c>
      <c r="AV124" s="2">
        <f t="shared" si="121"/>
        <v>279.99</v>
      </c>
      <c r="AW124" s="2">
        <f t="shared" si="121"/>
        <v>279.99</v>
      </c>
      <c r="AX124" s="2">
        <f t="shared" si="121"/>
        <v>0</v>
      </c>
      <c r="AY124" s="2">
        <f t="shared" si="121"/>
        <v>279.99</v>
      </c>
      <c r="AZ124" s="2">
        <f t="shared" si="121"/>
        <v>0</v>
      </c>
      <c r="BA124" s="2">
        <f t="shared" si="121"/>
        <v>0</v>
      </c>
      <c r="BB124" s="2">
        <f t="shared" si="121"/>
        <v>0</v>
      </c>
      <c r="BC124" s="2">
        <f t="shared" si="121"/>
        <v>0</v>
      </c>
      <c r="BD124" s="2">
        <f t="shared" si="121"/>
        <v>0</v>
      </c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>
        <f>ROUND(SUMIF(AA112:AA122,"=1473080740",FQ112:FQ122),2)</f>
        <v>0</v>
      </c>
      <c r="BY124" s="2">
        <f>ROUND(SUMIF(AA112:AA122,"=1473080740",FR112:FR122),2)</f>
        <v>0</v>
      </c>
      <c r="BZ124" s="2">
        <f>ROUND(SUMIF(AA112:AA122,"=1473080740",GL112:GL122),2)</f>
        <v>0</v>
      </c>
      <c r="CA124" s="2">
        <f>ROUND(SUMIF(AA112:AA122,"=1473080740",GM112:GM122),2)</f>
        <v>46559.93</v>
      </c>
      <c r="CB124" s="2">
        <f>ROUND(SUMIF(AA112:AA122,"=1473080740",GN112:GN122),2)</f>
        <v>0</v>
      </c>
      <c r="CC124" s="2">
        <f>ROUND(SUMIF(AA112:AA122,"=1473080740",GO112:GO122),2)</f>
        <v>0</v>
      </c>
      <c r="CD124" s="2">
        <f>ROUND(SUMIF(AA112:AA122,"=1473080740",GP112:GP122),2)</f>
        <v>46559.93</v>
      </c>
      <c r="CE124" s="2">
        <f>AC124-BX124</f>
        <v>279.99</v>
      </c>
      <c r="CF124" s="2">
        <f>AC124-BY124</f>
        <v>279.99</v>
      </c>
      <c r="CG124" s="2">
        <f>BX124-BZ124</f>
        <v>0</v>
      </c>
      <c r="CH124" s="2">
        <f>AC124-BX124-BY124+BZ124</f>
        <v>279.99</v>
      </c>
      <c r="CI124" s="2">
        <f>BY124-BZ124</f>
        <v>0</v>
      </c>
      <c r="CJ124" s="2">
        <f>ROUND(SUMIF(AA112:AA122,"=1473080740",GX112:GX122),2)</f>
        <v>0</v>
      </c>
      <c r="CK124" s="2">
        <f>ROUND(SUMIF(AA112:AA122,"=1473080740",GY112:GY122),2)</f>
        <v>0</v>
      </c>
      <c r="CL124" s="2">
        <f>ROUND(SUMIF(AA112:AA122,"=1473080740",GZ112:GZ122),2)</f>
        <v>0</v>
      </c>
      <c r="CM124" s="2">
        <f>ROUND(SUMIF(AA112:AA122,"=1473080740",HD112:HD122),2)</f>
        <v>0</v>
      </c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>
        <v>0</v>
      </c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201</v>
      </c>
      <c r="F126" s="4">
        <f>ROUND(Source!O124,O126)</f>
        <v>26056.799999999999</v>
      </c>
      <c r="G126" s="4" t="s">
        <v>43</v>
      </c>
      <c r="H126" s="4" t="s">
        <v>44</v>
      </c>
      <c r="I126" s="4"/>
      <c r="J126" s="4"/>
      <c r="K126" s="4">
        <v>201</v>
      </c>
      <c r="L126" s="4">
        <v>1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26056.799999999999</v>
      </c>
      <c r="X126" s="4">
        <v>1</v>
      </c>
      <c r="Y126" s="4">
        <v>26056.799999999999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202</v>
      </c>
      <c r="F127" s="4">
        <f>ROUND(Source!P124,O127)</f>
        <v>279.99</v>
      </c>
      <c r="G127" s="4" t="s">
        <v>45</v>
      </c>
      <c r="H127" s="4" t="s">
        <v>46</v>
      </c>
      <c r="I127" s="4"/>
      <c r="J127" s="4"/>
      <c r="K127" s="4">
        <v>202</v>
      </c>
      <c r="L127" s="4">
        <v>2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279.99</v>
      </c>
      <c r="X127" s="4">
        <v>1</v>
      </c>
      <c r="Y127" s="4">
        <v>279.99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222</v>
      </c>
      <c r="F128" s="4">
        <f>ROUND(Source!AO124,O128)</f>
        <v>0</v>
      </c>
      <c r="G128" s="4" t="s">
        <v>47</v>
      </c>
      <c r="H128" s="4" t="s">
        <v>48</v>
      </c>
      <c r="I128" s="4"/>
      <c r="J128" s="4"/>
      <c r="K128" s="4">
        <v>222</v>
      </c>
      <c r="L128" s="4">
        <v>3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225</v>
      </c>
      <c r="F129" s="4">
        <f>ROUND(Source!AV124,O129)</f>
        <v>279.99</v>
      </c>
      <c r="G129" s="4" t="s">
        <v>49</v>
      </c>
      <c r="H129" s="4" t="s">
        <v>50</v>
      </c>
      <c r="I129" s="4"/>
      <c r="J129" s="4"/>
      <c r="K129" s="4">
        <v>225</v>
      </c>
      <c r="L129" s="4">
        <v>4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279.99</v>
      </c>
      <c r="X129" s="4">
        <v>1</v>
      </c>
      <c r="Y129" s="4">
        <v>279.99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226</v>
      </c>
      <c r="F130" s="4">
        <f>ROUND(Source!AW124,O130)</f>
        <v>279.99</v>
      </c>
      <c r="G130" s="4" t="s">
        <v>51</v>
      </c>
      <c r="H130" s="4" t="s">
        <v>52</v>
      </c>
      <c r="I130" s="4"/>
      <c r="J130" s="4"/>
      <c r="K130" s="4">
        <v>226</v>
      </c>
      <c r="L130" s="4">
        <v>5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279.99</v>
      </c>
      <c r="X130" s="4">
        <v>1</v>
      </c>
      <c r="Y130" s="4">
        <v>279.99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227</v>
      </c>
      <c r="F131" s="4">
        <f>ROUND(Source!AX124,O131)</f>
        <v>0</v>
      </c>
      <c r="G131" s="4" t="s">
        <v>53</v>
      </c>
      <c r="H131" s="4" t="s">
        <v>54</v>
      </c>
      <c r="I131" s="4"/>
      <c r="J131" s="4"/>
      <c r="K131" s="4">
        <v>227</v>
      </c>
      <c r="L131" s="4">
        <v>6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228</v>
      </c>
      <c r="F132" s="4">
        <f>ROUND(Source!AY124,O132)</f>
        <v>279.99</v>
      </c>
      <c r="G132" s="4" t="s">
        <v>55</v>
      </c>
      <c r="H132" s="4" t="s">
        <v>56</v>
      </c>
      <c r="I132" s="4"/>
      <c r="J132" s="4"/>
      <c r="K132" s="4">
        <v>228</v>
      </c>
      <c r="L132" s="4">
        <v>7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279.99</v>
      </c>
      <c r="X132" s="4">
        <v>1</v>
      </c>
      <c r="Y132" s="4">
        <v>279.99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216</v>
      </c>
      <c r="F133" s="4">
        <f>ROUND(Source!AP124,O133)</f>
        <v>0</v>
      </c>
      <c r="G133" s="4" t="s">
        <v>57</v>
      </c>
      <c r="H133" s="4" t="s">
        <v>58</v>
      </c>
      <c r="I133" s="4"/>
      <c r="J133" s="4"/>
      <c r="K133" s="4">
        <v>216</v>
      </c>
      <c r="L133" s="4">
        <v>8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223</v>
      </c>
      <c r="F134" s="4">
        <f>ROUND(Source!AQ124,O134)</f>
        <v>0</v>
      </c>
      <c r="G134" s="4" t="s">
        <v>59</v>
      </c>
      <c r="H134" s="4" t="s">
        <v>60</v>
      </c>
      <c r="I134" s="4"/>
      <c r="J134" s="4"/>
      <c r="K134" s="4">
        <v>223</v>
      </c>
      <c r="L134" s="4">
        <v>9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229</v>
      </c>
      <c r="F135" s="4">
        <f>ROUND(Source!AZ124,O135)</f>
        <v>0</v>
      </c>
      <c r="G135" s="4" t="s">
        <v>61</v>
      </c>
      <c r="H135" s="4" t="s">
        <v>62</v>
      </c>
      <c r="I135" s="4"/>
      <c r="J135" s="4"/>
      <c r="K135" s="4">
        <v>229</v>
      </c>
      <c r="L135" s="4">
        <v>10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203</v>
      </c>
      <c r="F136" s="4">
        <f>ROUND(Source!Q124,O136)</f>
        <v>951.14</v>
      </c>
      <c r="G136" s="4" t="s">
        <v>63</v>
      </c>
      <c r="H136" s="4" t="s">
        <v>64</v>
      </c>
      <c r="I136" s="4"/>
      <c r="J136" s="4"/>
      <c r="K136" s="4">
        <v>203</v>
      </c>
      <c r="L136" s="4">
        <v>11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951.14</v>
      </c>
      <c r="X136" s="4">
        <v>1</v>
      </c>
      <c r="Y136" s="4">
        <v>951.14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231</v>
      </c>
      <c r="F137" s="4">
        <f>ROUND(Source!BB124,O137)</f>
        <v>0</v>
      </c>
      <c r="G137" s="4" t="s">
        <v>65</v>
      </c>
      <c r="H137" s="4" t="s">
        <v>66</v>
      </c>
      <c r="I137" s="4"/>
      <c r="J137" s="4"/>
      <c r="K137" s="4">
        <v>231</v>
      </c>
      <c r="L137" s="4">
        <v>12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204</v>
      </c>
      <c r="F138" s="4">
        <f>ROUND(Source!R124,O138)</f>
        <v>594.99</v>
      </c>
      <c r="G138" s="4" t="s">
        <v>67</v>
      </c>
      <c r="H138" s="4" t="s">
        <v>68</v>
      </c>
      <c r="I138" s="4"/>
      <c r="J138" s="4"/>
      <c r="K138" s="4">
        <v>204</v>
      </c>
      <c r="L138" s="4">
        <v>13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594.99</v>
      </c>
      <c r="X138" s="4">
        <v>1</v>
      </c>
      <c r="Y138" s="4">
        <v>594.99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205</v>
      </c>
      <c r="F139" s="4">
        <f>ROUND(Source!S124,O139)</f>
        <v>24825.67</v>
      </c>
      <c r="G139" s="4" t="s">
        <v>69</v>
      </c>
      <c r="H139" s="4" t="s">
        <v>70</v>
      </c>
      <c r="I139" s="4"/>
      <c r="J139" s="4"/>
      <c r="K139" s="4">
        <v>205</v>
      </c>
      <c r="L139" s="4">
        <v>14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24825.67</v>
      </c>
      <c r="X139" s="4">
        <v>1</v>
      </c>
      <c r="Y139" s="4">
        <v>24825.67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232</v>
      </c>
      <c r="F140" s="4">
        <f>ROUND(Source!BC124,O140)</f>
        <v>0</v>
      </c>
      <c r="G140" s="4" t="s">
        <v>71</v>
      </c>
      <c r="H140" s="4" t="s">
        <v>72</v>
      </c>
      <c r="I140" s="4"/>
      <c r="J140" s="4"/>
      <c r="K140" s="4">
        <v>232</v>
      </c>
      <c r="L140" s="4">
        <v>15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214</v>
      </c>
      <c r="F141" s="4">
        <f>ROUND(Source!AS124,O141)</f>
        <v>0</v>
      </c>
      <c r="G141" s="4" t="s">
        <v>73</v>
      </c>
      <c r="H141" s="4" t="s">
        <v>74</v>
      </c>
      <c r="I141" s="4"/>
      <c r="J141" s="4"/>
      <c r="K141" s="4">
        <v>214</v>
      </c>
      <c r="L141" s="4">
        <v>16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215</v>
      </c>
      <c r="F142" s="4">
        <f>ROUND(Source!AT124,O142)</f>
        <v>0</v>
      </c>
      <c r="G142" s="4" t="s">
        <v>75</v>
      </c>
      <c r="H142" s="4" t="s">
        <v>76</v>
      </c>
      <c r="I142" s="4"/>
      <c r="J142" s="4"/>
      <c r="K142" s="4">
        <v>215</v>
      </c>
      <c r="L142" s="4">
        <v>17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217</v>
      </c>
      <c r="F143" s="4">
        <f>ROUND(Source!AU124,O143)</f>
        <v>46559.93</v>
      </c>
      <c r="G143" s="4" t="s">
        <v>77</v>
      </c>
      <c r="H143" s="4" t="s">
        <v>78</v>
      </c>
      <c r="I143" s="4"/>
      <c r="J143" s="4"/>
      <c r="K143" s="4">
        <v>217</v>
      </c>
      <c r="L143" s="4">
        <v>18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46559.93</v>
      </c>
      <c r="X143" s="4">
        <v>1</v>
      </c>
      <c r="Y143" s="4">
        <v>46559.93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230</v>
      </c>
      <c r="F144" s="4">
        <f>ROUND(Source!BA124,O144)</f>
        <v>0</v>
      </c>
      <c r="G144" s="4" t="s">
        <v>79</v>
      </c>
      <c r="H144" s="4" t="s">
        <v>80</v>
      </c>
      <c r="I144" s="4"/>
      <c r="J144" s="4"/>
      <c r="K144" s="4">
        <v>230</v>
      </c>
      <c r="L144" s="4">
        <v>19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206</v>
      </c>
      <c r="F145" s="4">
        <f>ROUND(Source!T124,O145)</f>
        <v>0</v>
      </c>
      <c r="G145" s="4" t="s">
        <v>81</v>
      </c>
      <c r="H145" s="4" t="s">
        <v>82</v>
      </c>
      <c r="I145" s="4"/>
      <c r="J145" s="4"/>
      <c r="K145" s="4">
        <v>206</v>
      </c>
      <c r="L145" s="4">
        <v>20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207</v>
      </c>
      <c r="F146" s="4">
        <f>Source!U124</f>
        <v>47.982899999999994</v>
      </c>
      <c r="G146" s="4" t="s">
        <v>83</v>
      </c>
      <c r="H146" s="4" t="s">
        <v>84</v>
      </c>
      <c r="I146" s="4"/>
      <c r="J146" s="4"/>
      <c r="K146" s="4">
        <v>207</v>
      </c>
      <c r="L146" s="4">
        <v>21</v>
      </c>
      <c r="M146" s="4">
        <v>3</v>
      </c>
      <c r="N146" s="4" t="s">
        <v>3</v>
      </c>
      <c r="O146" s="4">
        <v>-1</v>
      </c>
      <c r="P146" s="4"/>
      <c r="Q146" s="4"/>
      <c r="R146" s="4"/>
      <c r="S146" s="4"/>
      <c r="T146" s="4"/>
      <c r="U146" s="4"/>
      <c r="V146" s="4"/>
      <c r="W146" s="4">
        <v>47.982900000000001</v>
      </c>
      <c r="X146" s="4">
        <v>1</v>
      </c>
      <c r="Y146" s="4">
        <v>47.982900000000001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208</v>
      </c>
      <c r="F147" s="4">
        <f>Source!V124</f>
        <v>0</v>
      </c>
      <c r="G147" s="4" t="s">
        <v>85</v>
      </c>
      <c r="H147" s="4" t="s">
        <v>86</v>
      </c>
      <c r="I147" s="4"/>
      <c r="J147" s="4"/>
      <c r="K147" s="4">
        <v>208</v>
      </c>
      <c r="L147" s="4">
        <v>22</v>
      </c>
      <c r="M147" s="4">
        <v>3</v>
      </c>
      <c r="N147" s="4" t="s">
        <v>3</v>
      </c>
      <c r="O147" s="4">
        <v>-1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209</v>
      </c>
      <c r="F148" s="4">
        <f>ROUND(Source!W124,O148)</f>
        <v>0</v>
      </c>
      <c r="G148" s="4" t="s">
        <v>87</v>
      </c>
      <c r="H148" s="4" t="s">
        <v>88</v>
      </c>
      <c r="I148" s="4"/>
      <c r="J148" s="4"/>
      <c r="K148" s="4">
        <v>209</v>
      </c>
      <c r="L148" s="4">
        <v>23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233</v>
      </c>
      <c r="F149" s="4">
        <f>ROUND(Source!BD124,O149)</f>
        <v>0</v>
      </c>
      <c r="G149" s="4" t="s">
        <v>89</v>
      </c>
      <c r="H149" s="4" t="s">
        <v>90</v>
      </c>
      <c r="I149" s="4"/>
      <c r="J149" s="4"/>
      <c r="K149" s="4">
        <v>233</v>
      </c>
      <c r="L149" s="4">
        <v>24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45" x14ac:dyDescent="0.2">
      <c r="A150" s="4">
        <v>50</v>
      </c>
      <c r="B150" s="4">
        <v>0</v>
      </c>
      <c r="C150" s="4">
        <v>0</v>
      </c>
      <c r="D150" s="4">
        <v>1</v>
      </c>
      <c r="E150" s="4">
        <v>210</v>
      </c>
      <c r="F150" s="4">
        <f>ROUND(Source!X124,O150)</f>
        <v>17377.97</v>
      </c>
      <c r="G150" s="4" t="s">
        <v>91</v>
      </c>
      <c r="H150" s="4" t="s">
        <v>92</v>
      </c>
      <c r="I150" s="4"/>
      <c r="J150" s="4"/>
      <c r="K150" s="4">
        <v>210</v>
      </c>
      <c r="L150" s="4">
        <v>25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17377.97</v>
      </c>
      <c r="X150" s="4">
        <v>1</v>
      </c>
      <c r="Y150" s="4">
        <v>17377.97</v>
      </c>
      <c r="Z150" s="4"/>
      <c r="AA150" s="4"/>
      <c r="AB150" s="4"/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211</v>
      </c>
      <c r="F151" s="4">
        <f>ROUND(Source!Y124,O151)</f>
        <v>2482.56</v>
      </c>
      <c r="G151" s="4" t="s">
        <v>93</v>
      </c>
      <c r="H151" s="4" t="s">
        <v>94</v>
      </c>
      <c r="I151" s="4"/>
      <c r="J151" s="4"/>
      <c r="K151" s="4">
        <v>211</v>
      </c>
      <c r="L151" s="4">
        <v>26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2482.56</v>
      </c>
      <c r="X151" s="4">
        <v>1</v>
      </c>
      <c r="Y151" s="4">
        <v>2482.56</v>
      </c>
      <c r="Z151" s="4"/>
      <c r="AA151" s="4"/>
      <c r="AB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224</v>
      </c>
      <c r="F152" s="4">
        <f>ROUND(Source!AR124,O152)</f>
        <v>46559.93</v>
      </c>
      <c r="G152" s="4" t="s">
        <v>95</v>
      </c>
      <c r="H152" s="4" t="s">
        <v>96</v>
      </c>
      <c r="I152" s="4"/>
      <c r="J152" s="4"/>
      <c r="K152" s="4">
        <v>224</v>
      </c>
      <c r="L152" s="4">
        <v>27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46559.93</v>
      </c>
      <c r="X152" s="4">
        <v>1</v>
      </c>
      <c r="Y152" s="4">
        <v>46559.93</v>
      </c>
      <c r="Z152" s="4"/>
      <c r="AA152" s="4"/>
      <c r="AB152" s="4"/>
    </row>
    <row r="154" spans="1:245" x14ac:dyDescent="0.2">
      <c r="A154" s="1">
        <v>5</v>
      </c>
      <c r="B154" s="1">
        <v>0</v>
      </c>
      <c r="C154" s="1"/>
      <c r="D154" s="1">
        <f>ROW(A162)</f>
        <v>162</v>
      </c>
      <c r="E154" s="1"/>
      <c r="F154" s="1" t="s">
        <v>14</v>
      </c>
      <c r="G154" s="1" t="s">
        <v>141</v>
      </c>
      <c r="H154" s="1" t="s">
        <v>3</v>
      </c>
      <c r="I154" s="1">
        <v>0</v>
      </c>
      <c r="J154" s="1"/>
      <c r="K154" s="1">
        <v>-1</v>
      </c>
      <c r="L154" s="1"/>
      <c r="M154" s="1" t="s">
        <v>3</v>
      </c>
      <c r="N154" s="1"/>
      <c r="O154" s="1"/>
      <c r="P154" s="1"/>
      <c r="Q154" s="1"/>
      <c r="R154" s="1"/>
      <c r="S154" s="1">
        <v>0</v>
      </c>
      <c r="T154" s="1"/>
      <c r="U154" s="1" t="s">
        <v>3</v>
      </c>
      <c r="V154" s="1">
        <v>0</v>
      </c>
      <c r="W154" s="1"/>
      <c r="X154" s="1"/>
      <c r="Y154" s="1"/>
      <c r="Z154" s="1"/>
      <c r="AA154" s="1"/>
      <c r="AB154" s="1" t="s">
        <v>3</v>
      </c>
      <c r="AC154" s="1" t="s">
        <v>3</v>
      </c>
      <c r="AD154" s="1" t="s">
        <v>3</v>
      </c>
      <c r="AE154" s="1" t="s">
        <v>3</v>
      </c>
      <c r="AF154" s="1" t="s">
        <v>3</v>
      </c>
      <c r="AG154" s="1" t="s">
        <v>3</v>
      </c>
      <c r="AH154" s="1"/>
      <c r="AI154" s="1"/>
      <c r="AJ154" s="1"/>
      <c r="AK154" s="1"/>
      <c r="AL154" s="1"/>
      <c r="AM154" s="1"/>
      <c r="AN154" s="1"/>
      <c r="AO154" s="1"/>
      <c r="AP154" s="1" t="s">
        <v>3</v>
      </c>
      <c r="AQ154" s="1" t="s">
        <v>3</v>
      </c>
      <c r="AR154" s="1" t="s">
        <v>3</v>
      </c>
      <c r="AS154" s="1"/>
      <c r="AT154" s="1"/>
      <c r="AU154" s="1"/>
      <c r="AV154" s="1"/>
      <c r="AW154" s="1"/>
      <c r="AX154" s="1"/>
      <c r="AY154" s="1"/>
      <c r="AZ154" s="1" t="s">
        <v>3</v>
      </c>
      <c r="BA154" s="1"/>
      <c r="BB154" s="1" t="s">
        <v>3</v>
      </c>
      <c r="BC154" s="1" t="s">
        <v>3</v>
      </c>
      <c r="BD154" s="1" t="s">
        <v>3</v>
      </c>
      <c r="BE154" s="1" t="s">
        <v>3</v>
      </c>
      <c r="BF154" s="1" t="s">
        <v>3</v>
      </c>
      <c r="BG154" s="1" t="s">
        <v>3</v>
      </c>
      <c r="BH154" s="1" t="s">
        <v>3</v>
      </c>
      <c r="BI154" s="1" t="s">
        <v>3</v>
      </c>
      <c r="BJ154" s="1" t="s">
        <v>3</v>
      </c>
      <c r="BK154" s="1" t="s">
        <v>3</v>
      </c>
      <c r="BL154" s="1" t="s">
        <v>3</v>
      </c>
      <c r="BM154" s="1" t="s">
        <v>3</v>
      </c>
      <c r="BN154" s="1" t="s">
        <v>3</v>
      </c>
      <c r="BO154" s="1" t="s">
        <v>3</v>
      </c>
      <c r="BP154" s="1" t="s">
        <v>3</v>
      </c>
      <c r="BQ154" s="1"/>
      <c r="BR154" s="1"/>
      <c r="BS154" s="1"/>
      <c r="BT154" s="1"/>
      <c r="BU154" s="1"/>
      <c r="BV154" s="1"/>
      <c r="BW154" s="1"/>
      <c r="BX154" s="1">
        <v>0</v>
      </c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>
        <v>0</v>
      </c>
    </row>
    <row r="156" spans="1:245" x14ac:dyDescent="0.2">
      <c r="A156" s="2">
        <v>52</v>
      </c>
      <c r="B156" s="2">
        <f t="shared" ref="B156:G156" si="122">B162</f>
        <v>0</v>
      </c>
      <c r="C156" s="2">
        <f t="shared" si="122"/>
        <v>5</v>
      </c>
      <c r="D156" s="2">
        <f t="shared" si="122"/>
        <v>154</v>
      </c>
      <c r="E156" s="2">
        <f t="shared" si="122"/>
        <v>0</v>
      </c>
      <c r="F156" s="2" t="str">
        <f t="shared" si="122"/>
        <v>Новый подраздел</v>
      </c>
      <c r="G156" s="2" t="str">
        <f t="shared" si="122"/>
        <v>Внутренний водосток (ливневая канализация) К2</v>
      </c>
      <c r="H156" s="2"/>
      <c r="I156" s="2"/>
      <c r="J156" s="2"/>
      <c r="K156" s="2"/>
      <c r="L156" s="2"/>
      <c r="M156" s="2"/>
      <c r="N156" s="2"/>
      <c r="O156" s="2">
        <f t="shared" ref="O156:AT156" si="123">O162</f>
        <v>0</v>
      </c>
      <c r="P156" s="2">
        <f t="shared" si="123"/>
        <v>0</v>
      </c>
      <c r="Q156" s="2">
        <f t="shared" si="123"/>
        <v>0</v>
      </c>
      <c r="R156" s="2">
        <f t="shared" si="123"/>
        <v>0</v>
      </c>
      <c r="S156" s="2">
        <f t="shared" si="123"/>
        <v>0</v>
      </c>
      <c r="T156" s="2">
        <f t="shared" si="123"/>
        <v>0</v>
      </c>
      <c r="U156" s="2">
        <f t="shared" si="123"/>
        <v>0</v>
      </c>
      <c r="V156" s="2">
        <f t="shared" si="123"/>
        <v>0</v>
      </c>
      <c r="W156" s="2">
        <f t="shared" si="123"/>
        <v>0</v>
      </c>
      <c r="X156" s="2">
        <f t="shared" si="123"/>
        <v>0</v>
      </c>
      <c r="Y156" s="2">
        <f t="shared" si="123"/>
        <v>0</v>
      </c>
      <c r="Z156" s="2">
        <f t="shared" si="123"/>
        <v>0</v>
      </c>
      <c r="AA156" s="2">
        <f t="shared" si="123"/>
        <v>0</v>
      </c>
      <c r="AB156" s="2">
        <f t="shared" si="123"/>
        <v>0</v>
      </c>
      <c r="AC156" s="2">
        <f t="shared" si="123"/>
        <v>0</v>
      </c>
      <c r="AD156" s="2">
        <f t="shared" si="123"/>
        <v>0</v>
      </c>
      <c r="AE156" s="2">
        <f t="shared" si="123"/>
        <v>0</v>
      </c>
      <c r="AF156" s="2">
        <f t="shared" si="123"/>
        <v>0</v>
      </c>
      <c r="AG156" s="2">
        <f t="shared" si="123"/>
        <v>0</v>
      </c>
      <c r="AH156" s="2">
        <f t="shared" si="123"/>
        <v>0</v>
      </c>
      <c r="AI156" s="2">
        <f t="shared" si="123"/>
        <v>0</v>
      </c>
      <c r="AJ156" s="2">
        <f t="shared" si="123"/>
        <v>0</v>
      </c>
      <c r="AK156" s="2">
        <f t="shared" si="123"/>
        <v>0</v>
      </c>
      <c r="AL156" s="2">
        <f t="shared" si="123"/>
        <v>0</v>
      </c>
      <c r="AM156" s="2">
        <f t="shared" si="123"/>
        <v>0</v>
      </c>
      <c r="AN156" s="2">
        <f t="shared" si="123"/>
        <v>0</v>
      </c>
      <c r="AO156" s="2">
        <f t="shared" si="123"/>
        <v>0</v>
      </c>
      <c r="AP156" s="2">
        <f t="shared" si="123"/>
        <v>0</v>
      </c>
      <c r="AQ156" s="2">
        <f t="shared" si="123"/>
        <v>0</v>
      </c>
      <c r="AR156" s="2">
        <f t="shared" si="123"/>
        <v>0</v>
      </c>
      <c r="AS156" s="2">
        <f t="shared" si="123"/>
        <v>0</v>
      </c>
      <c r="AT156" s="2">
        <f t="shared" si="123"/>
        <v>0</v>
      </c>
      <c r="AU156" s="2">
        <f t="shared" ref="AU156:BZ156" si="124">AU162</f>
        <v>0</v>
      </c>
      <c r="AV156" s="2">
        <f t="shared" si="124"/>
        <v>0</v>
      </c>
      <c r="AW156" s="2">
        <f t="shared" si="124"/>
        <v>0</v>
      </c>
      <c r="AX156" s="2">
        <f t="shared" si="124"/>
        <v>0</v>
      </c>
      <c r="AY156" s="2">
        <f t="shared" si="124"/>
        <v>0</v>
      </c>
      <c r="AZ156" s="2">
        <f t="shared" si="124"/>
        <v>0</v>
      </c>
      <c r="BA156" s="2">
        <f t="shared" si="124"/>
        <v>0</v>
      </c>
      <c r="BB156" s="2">
        <f t="shared" si="124"/>
        <v>0</v>
      </c>
      <c r="BC156" s="2">
        <f t="shared" si="124"/>
        <v>0</v>
      </c>
      <c r="BD156" s="2">
        <f t="shared" si="124"/>
        <v>0</v>
      </c>
      <c r="BE156" s="2">
        <f t="shared" si="124"/>
        <v>0</v>
      </c>
      <c r="BF156" s="2">
        <f t="shared" si="124"/>
        <v>0</v>
      </c>
      <c r="BG156" s="2">
        <f t="shared" si="124"/>
        <v>0</v>
      </c>
      <c r="BH156" s="2">
        <f t="shared" si="124"/>
        <v>0</v>
      </c>
      <c r="BI156" s="2">
        <f t="shared" si="124"/>
        <v>0</v>
      </c>
      <c r="BJ156" s="2">
        <f t="shared" si="124"/>
        <v>0</v>
      </c>
      <c r="BK156" s="2">
        <f t="shared" si="124"/>
        <v>0</v>
      </c>
      <c r="BL156" s="2">
        <f t="shared" si="124"/>
        <v>0</v>
      </c>
      <c r="BM156" s="2">
        <f t="shared" si="124"/>
        <v>0</v>
      </c>
      <c r="BN156" s="2">
        <f t="shared" si="124"/>
        <v>0</v>
      </c>
      <c r="BO156" s="2">
        <f t="shared" si="124"/>
        <v>0</v>
      </c>
      <c r="BP156" s="2">
        <f t="shared" si="124"/>
        <v>0</v>
      </c>
      <c r="BQ156" s="2">
        <f t="shared" si="124"/>
        <v>0</v>
      </c>
      <c r="BR156" s="2">
        <f t="shared" si="124"/>
        <v>0</v>
      </c>
      <c r="BS156" s="2">
        <f t="shared" si="124"/>
        <v>0</v>
      </c>
      <c r="BT156" s="2">
        <f t="shared" si="124"/>
        <v>0</v>
      </c>
      <c r="BU156" s="2">
        <f t="shared" si="124"/>
        <v>0</v>
      </c>
      <c r="BV156" s="2">
        <f t="shared" si="124"/>
        <v>0</v>
      </c>
      <c r="BW156" s="2">
        <f t="shared" si="124"/>
        <v>0</v>
      </c>
      <c r="BX156" s="2">
        <f t="shared" si="124"/>
        <v>0</v>
      </c>
      <c r="BY156" s="2">
        <f t="shared" si="124"/>
        <v>0</v>
      </c>
      <c r="BZ156" s="2">
        <f t="shared" si="124"/>
        <v>0</v>
      </c>
      <c r="CA156" s="2">
        <f t="shared" ref="CA156:DF156" si="125">CA162</f>
        <v>0</v>
      </c>
      <c r="CB156" s="2">
        <f t="shared" si="125"/>
        <v>0</v>
      </c>
      <c r="CC156" s="2">
        <f t="shared" si="125"/>
        <v>0</v>
      </c>
      <c r="CD156" s="2">
        <f t="shared" si="125"/>
        <v>0</v>
      </c>
      <c r="CE156" s="2">
        <f t="shared" si="125"/>
        <v>0</v>
      </c>
      <c r="CF156" s="2">
        <f t="shared" si="125"/>
        <v>0</v>
      </c>
      <c r="CG156" s="2">
        <f t="shared" si="125"/>
        <v>0</v>
      </c>
      <c r="CH156" s="2">
        <f t="shared" si="125"/>
        <v>0</v>
      </c>
      <c r="CI156" s="2">
        <f t="shared" si="125"/>
        <v>0</v>
      </c>
      <c r="CJ156" s="2">
        <f t="shared" si="125"/>
        <v>0</v>
      </c>
      <c r="CK156" s="2">
        <f t="shared" si="125"/>
        <v>0</v>
      </c>
      <c r="CL156" s="2">
        <f t="shared" si="125"/>
        <v>0</v>
      </c>
      <c r="CM156" s="2">
        <f t="shared" si="125"/>
        <v>0</v>
      </c>
      <c r="CN156" s="2">
        <f t="shared" si="125"/>
        <v>0</v>
      </c>
      <c r="CO156" s="2">
        <f t="shared" si="125"/>
        <v>0</v>
      </c>
      <c r="CP156" s="2">
        <f t="shared" si="125"/>
        <v>0</v>
      </c>
      <c r="CQ156" s="2">
        <f t="shared" si="125"/>
        <v>0</v>
      </c>
      <c r="CR156" s="2">
        <f t="shared" si="125"/>
        <v>0</v>
      </c>
      <c r="CS156" s="2">
        <f t="shared" si="125"/>
        <v>0</v>
      </c>
      <c r="CT156" s="2">
        <f t="shared" si="125"/>
        <v>0</v>
      </c>
      <c r="CU156" s="2">
        <f t="shared" si="125"/>
        <v>0</v>
      </c>
      <c r="CV156" s="2">
        <f t="shared" si="125"/>
        <v>0</v>
      </c>
      <c r="CW156" s="2">
        <f t="shared" si="125"/>
        <v>0</v>
      </c>
      <c r="CX156" s="2">
        <f t="shared" si="125"/>
        <v>0</v>
      </c>
      <c r="CY156" s="2">
        <f t="shared" si="125"/>
        <v>0</v>
      </c>
      <c r="CZ156" s="2">
        <f t="shared" si="125"/>
        <v>0</v>
      </c>
      <c r="DA156" s="2">
        <f t="shared" si="125"/>
        <v>0</v>
      </c>
      <c r="DB156" s="2">
        <f t="shared" si="125"/>
        <v>0</v>
      </c>
      <c r="DC156" s="2">
        <f t="shared" si="125"/>
        <v>0</v>
      </c>
      <c r="DD156" s="2">
        <f t="shared" si="125"/>
        <v>0</v>
      </c>
      <c r="DE156" s="2">
        <f t="shared" si="125"/>
        <v>0</v>
      </c>
      <c r="DF156" s="2">
        <f t="shared" si="125"/>
        <v>0</v>
      </c>
      <c r="DG156" s="3">
        <f t="shared" ref="DG156:EL156" si="126">DG162</f>
        <v>0</v>
      </c>
      <c r="DH156" s="3">
        <f t="shared" si="126"/>
        <v>0</v>
      </c>
      <c r="DI156" s="3">
        <f t="shared" si="126"/>
        <v>0</v>
      </c>
      <c r="DJ156" s="3">
        <f t="shared" si="126"/>
        <v>0</v>
      </c>
      <c r="DK156" s="3">
        <f t="shared" si="126"/>
        <v>0</v>
      </c>
      <c r="DL156" s="3">
        <f t="shared" si="126"/>
        <v>0</v>
      </c>
      <c r="DM156" s="3">
        <f t="shared" si="126"/>
        <v>0</v>
      </c>
      <c r="DN156" s="3">
        <f t="shared" si="126"/>
        <v>0</v>
      </c>
      <c r="DO156" s="3">
        <f t="shared" si="126"/>
        <v>0</v>
      </c>
      <c r="DP156" s="3">
        <f t="shared" si="126"/>
        <v>0</v>
      </c>
      <c r="DQ156" s="3">
        <f t="shared" si="126"/>
        <v>0</v>
      </c>
      <c r="DR156" s="3">
        <f t="shared" si="126"/>
        <v>0</v>
      </c>
      <c r="DS156" s="3">
        <f t="shared" si="126"/>
        <v>0</v>
      </c>
      <c r="DT156" s="3">
        <f t="shared" si="126"/>
        <v>0</v>
      </c>
      <c r="DU156" s="3">
        <f t="shared" si="126"/>
        <v>0</v>
      </c>
      <c r="DV156" s="3">
        <f t="shared" si="126"/>
        <v>0</v>
      </c>
      <c r="DW156" s="3">
        <f t="shared" si="126"/>
        <v>0</v>
      </c>
      <c r="DX156" s="3">
        <f t="shared" si="126"/>
        <v>0</v>
      </c>
      <c r="DY156" s="3">
        <f t="shared" si="126"/>
        <v>0</v>
      </c>
      <c r="DZ156" s="3">
        <f t="shared" si="126"/>
        <v>0</v>
      </c>
      <c r="EA156" s="3">
        <f t="shared" si="126"/>
        <v>0</v>
      </c>
      <c r="EB156" s="3">
        <f t="shared" si="126"/>
        <v>0</v>
      </c>
      <c r="EC156" s="3">
        <f t="shared" si="126"/>
        <v>0</v>
      </c>
      <c r="ED156" s="3">
        <f t="shared" si="126"/>
        <v>0</v>
      </c>
      <c r="EE156" s="3">
        <f t="shared" si="126"/>
        <v>0</v>
      </c>
      <c r="EF156" s="3">
        <f t="shared" si="126"/>
        <v>0</v>
      </c>
      <c r="EG156" s="3">
        <f t="shared" si="126"/>
        <v>0</v>
      </c>
      <c r="EH156" s="3">
        <f t="shared" si="126"/>
        <v>0</v>
      </c>
      <c r="EI156" s="3">
        <f t="shared" si="126"/>
        <v>0</v>
      </c>
      <c r="EJ156" s="3">
        <f t="shared" si="126"/>
        <v>0</v>
      </c>
      <c r="EK156" s="3">
        <f t="shared" si="126"/>
        <v>0</v>
      </c>
      <c r="EL156" s="3">
        <f t="shared" si="126"/>
        <v>0</v>
      </c>
      <c r="EM156" s="3">
        <f t="shared" ref="EM156:FR156" si="127">EM162</f>
        <v>0</v>
      </c>
      <c r="EN156" s="3">
        <f t="shared" si="127"/>
        <v>0</v>
      </c>
      <c r="EO156" s="3">
        <f t="shared" si="127"/>
        <v>0</v>
      </c>
      <c r="EP156" s="3">
        <f t="shared" si="127"/>
        <v>0</v>
      </c>
      <c r="EQ156" s="3">
        <f t="shared" si="127"/>
        <v>0</v>
      </c>
      <c r="ER156" s="3">
        <f t="shared" si="127"/>
        <v>0</v>
      </c>
      <c r="ES156" s="3">
        <f t="shared" si="127"/>
        <v>0</v>
      </c>
      <c r="ET156" s="3">
        <f t="shared" si="127"/>
        <v>0</v>
      </c>
      <c r="EU156" s="3">
        <f t="shared" si="127"/>
        <v>0</v>
      </c>
      <c r="EV156" s="3">
        <f t="shared" si="127"/>
        <v>0</v>
      </c>
      <c r="EW156" s="3">
        <f t="shared" si="127"/>
        <v>0</v>
      </c>
      <c r="EX156" s="3">
        <f t="shared" si="127"/>
        <v>0</v>
      </c>
      <c r="EY156" s="3">
        <f t="shared" si="127"/>
        <v>0</v>
      </c>
      <c r="EZ156" s="3">
        <f t="shared" si="127"/>
        <v>0</v>
      </c>
      <c r="FA156" s="3">
        <f t="shared" si="127"/>
        <v>0</v>
      </c>
      <c r="FB156" s="3">
        <f t="shared" si="127"/>
        <v>0</v>
      </c>
      <c r="FC156" s="3">
        <f t="shared" si="127"/>
        <v>0</v>
      </c>
      <c r="FD156" s="3">
        <f t="shared" si="127"/>
        <v>0</v>
      </c>
      <c r="FE156" s="3">
        <f t="shared" si="127"/>
        <v>0</v>
      </c>
      <c r="FF156" s="3">
        <f t="shared" si="127"/>
        <v>0</v>
      </c>
      <c r="FG156" s="3">
        <f t="shared" si="127"/>
        <v>0</v>
      </c>
      <c r="FH156" s="3">
        <f t="shared" si="127"/>
        <v>0</v>
      </c>
      <c r="FI156" s="3">
        <f t="shared" si="127"/>
        <v>0</v>
      </c>
      <c r="FJ156" s="3">
        <f t="shared" si="127"/>
        <v>0</v>
      </c>
      <c r="FK156" s="3">
        <f t="shared" si="127"/>
        <v>0</v>
      </c>
      <c r="FL156" s="3">
        <f t="shared" si="127"/>
        <v>0</v>
      </c>
      <c r="FM156" s="3">
        <f t="shared" si="127"/>
        <v>0</v>
      </c>
      <c r="FN156" s="3">
        <f t="shared" si="127"/>
        <v>0</v>
      </c>
      <c r="FO156" s="3">
        <f t="shared" si="127"/>
        <v>0</v>
      </c>
      <c r="FP156" s="3">
        <f t="shared" si="127"/>
        <v>0</v>
      </c>
      <c r="FQ156" s="3">
        <f t="shared" si="127"/>
        <v>0</v>
      </c>
      <c r="FR156" s="3">
        <f t="shared" si="127"/>
        <v>0</v>
      </c>
      <c r="FS156" s="3">
        <f t="shared" ref="FS156:GX156" si="128">FS162</f>
        <v>0</v>
      </c>
      <c r="FT156" s="3">
        <f t="shared" si="128"/>
        <v>0</v>
      </c>
      <c r="FU156" s="3">
        <f t="shared" si="128"/>
        <v>0</v>
      </c>
      <c r="FV156" s="3">
        <f t="shared" si="128"/>
        <v>0</v>
      </c>
      <c r="FW156" s="3">
        <f t="shared" si="128"/>
        <v>0</v>
      </c>
      <c r="FX156" s="3">
        <f t="shared" si="128"/>
        <v>0</v>
      </c>
      <c r="FY156" s="3">
        <f t="shared" si="128"/>
        <v>0</v>
      </c>
      <c r="FZ156" s="3">
        <f t="shared" si="128"/>
        <v>0</v>
      </c>
      <c r="GA156" s="3">
        <f t="shared" si="128"/>
        <v>0</v>
      </c>
      <c r="GB156" s="3">
        <f t="shared" si="128"/>
        <v>0</v>
      </c>
      <c r="GC156" s="3">
        <f t="shared" si="128"/>
        <v>0</v>
      </c>
      <c r="GD156" s="3">
        <f t="shared" si="128"/>
        <v>0</v>
      </c>
      <c r="GE156" s="3">
        <f t="shared" si="128"/>
        <v>0</v>
      </c>
      <c r="GF156" s="3">
        <f t="shared" si="128"/>
        <v>0</v>
      </c>
      <c r="GG156" s="3">
        <f t="shared" si="128"/>
        <v>0</v>
      </c>
      <c r="GH156" s="3">
        <f t="shared" si="128"/>
        <v>0</v>
      </c>
      <c r="GI156" s="3">
        <f t="shared" si="128"/>
        <v>0</v>
      </c>
      <c r="GJ156" s="3">
        <f t="shared" si="128"/>
        <v>0</v>
      </c>
      <c r="GK156" s="3">
        <f t="shared" si="128"/>
        <v>0</v>
      </c>
      <c r="GL156" s="3">
        <f t="shared" si="128"/>
        <v>0</v>
      </c>
      <c r="GM156" s="3">
        <f t="shared" si="128"/>
        <v>0</v>
      </c>
      <c r="GN156" s="3">
        <f t="shared" si="128"/>
        <v>0</v>
      </c>
      <c r="GO156" s="3">
        <f t="shared" si="128"/>
        <v>0</v>
      </c>
      <c r="GP156" s="3">
        <f t="shared" si="128"/>
        <v>0</v>
      </c>
      <c r="GQ156" s="3">
        <f t="shared" si="128"/>
        <v>0</v>
      </c>
      <c r="GR156" s="3">
        <f t="shared" si="128"/>
        <v>0</v>
      </c>
      <c r="GS156" s="3">
        <f t="shared" si="128"/>
        <v>0</v>
      </c>
      <c r="GT156" s="3">
        <f t="shared" si="128"/>
        <v>0</v>
      </c>
      <c r="GU156" s="3">
        <f t="shared" si="128"/>
        <v>0</v>
      </c>
      <c r="GV156" s="3">
        <f t="shared" si="128"/>
        <v>0</v>
      </c>
      <c r="GW156" s="3">
        <f t="shared" si="128"/>
        <v>0</v>
      </c>
      <c r="GX156" s="3">
        <f t="shared" si="128"/>
        <v>0</v>
      </c>
    </row>
    <row r="158" spans="1:245" x14ac:dyDescent="0.2">
      <c r="A158">
        <v>17</v>
      </c>
      <c r="B158">
        <v>0</v>
      </c>
      <c r="D158">
        <f>ROW(EtalonRes!A41)</f>
        <v>41</v>
      </c>
      <c r="E158" t="s">
        <v>3</v>
      </c>
      <c r="F158" t="s">
        <v>98</v>
      </c>
      <c r="G158" t="s">
        <v>99</v>
      </c>
      <c r="H158" t="s">
        <v>26</v>
      </c>
      <c r="I158">
        <f>ROUND((104)/100,9)</f>
        <v>1.04</v>
      </c>
      <c r="J158">
        <v>0</v>
      </c>
      <c r="K158">
        <f>ROUND((104)/100,9)</f>
        <v>1.04</v>
      </c>
      <c r="O158">
        <f>ROUND(CP158,2)</f>
        <v>17583.72</v>
      </c>
      <c r="P158">
        <f>ROUND(CQ158*I158,2)</f>
        <v>2837.35</v>
      </c>
      <c r="Q158">
        <f>ROUND(CR158*I158,2)</f>
        <v>0</v>
      </c>
      <c r="R158">
        <f>ROUND(CS158*I158,2)</f>
        <v>0</v>
      </c>
      <c r="S158">
        <f>ROUND(CT158*I158,2)</f>
        <v>14746.37</v>
      </c>
      <c r="T158">
        <f>ROUND(CU158*I158,2)</f>
        <v>0</v>
      </c>
      <c r="U158">
        <f>CV158*I158</f>
        <v>30.721599999999999</v>
      </c>
      <c r="V158">
        <f>CW158*I158</f>
        <v>0</v>
      </c>
      <c r="W158">
        <f>ROUND(CX158*I158,2)</f>
        <v>0</v>
      </c>
      <c r="X158">
        <f t="shared" ref="X158:Y160" si="129">ROUND(CY158,2)</f>
        <v>10322.459999999999</v>
      </c>
      <c r="Y158">
        <f t="shared" si="129"/>
        <v>1474.64</v>
      </c>
      <c r="AA158">
        <v>-1</v>
      </c>
      <c r="AB158">
        <f>ROUND((AC158+AD158+AF158),6)</f>
        <v>16907.419999999998</v>
      </c>
      <c r="AC158">
        <f>ROUND((ES158),6)</f>
        <v>2728.22</v>
      </c>
      <c r="AD158">
        <f>ROUND((((ET158)-(EU158))+AE158),6)</f>
        <v>0</v>
      </c>
      <c r="AE158">
        <f>ROUND((EU158),6)</f>
        <v>0</v>
      </c>
      <c r="AF158">
        <f>ROUND((EV158),6)</f>
        <v>14179.2</v>
      </c>
      <c r="AG158">
        <f>ROUND((AP158),6)</f>
        <v>0</v>
      </c>
      <c r="AH158">
        <f>(EW158)</f>
        <v>29.54</v>
      </c>
      <c r="AI158">
        <f>(EX158)</f>
        <v>0</v>
      </c>
      <c r="AJ158">
        <f>(AS158)</f>
        <v>0</v>
      </c>
      <c r="AK158">
        <v>16907.419999999998</v>
      </c>
      <c r="AL158">
        <v>2728.22</v>
      </c>
      <c r="AM158">
        <v>0</v>
      </c>
      <c r="AN158">
        <v>0</v>
      </c>
      <c r="AO158">
        <v>14179.2</v>
      </c>
      <c r="AP158">
        <v>0</v>
      </c>
      <c r="AQ158">
        <v>29.54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100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>(P158+Q158+S158)</f>
        <v>17583.72</v>
      </c>
      <c r="CQ158">
        <f>(AC158*BC158*AW158)</f>
        <v>2728.22</v>
      </c>
      <c r="CR158">
        <f>((((ET158)*BB158-(EU158)*BS158)+AE158*BS158)*AV158)</f>
        <v>0</v>
      </c>
      <c r="CS158">
        <f>(AE158*BS158*AV158)</f>
        <v>0</v>
      </c>
      <c r="CT158">
        <f>(AF158*BA158*AV158)</f>
        <v>14179.2</v>
      </c>
      <c r="CU158">
        <f>AG158</f>
        <v>0</v>
      </c>
      <c r="CV158">
        <f>(AH158*AV158)</f>
        <v>29.54</v>
      </c>
      <c r="CW158">
        <f t="shared" ref="CW158:CX160" si="130">AI158</f>
        <v>0</v>
      </c>
      <c r="CX158">
        <f t="shared" si="130"/>
        <v>0</v>
      </c>
      <c r="CY158">
        <f>((S158*BZ158)/100)</f>
        <v>10322.459000000001</v>
      </c>
      <c r="CZ158">
        <f>((S158*CA158)/100)</f>
        <v>1474.6370000000002</v>
      </c>
      <c r="DC158" t="s">
        <v>3</v>
      </c>
      <c r="DD158" t="s">
        <v>3</v>
      </c>
      <c r="DE158" t="s">
        <v>3</v>
      </c>
      <c r="DF158" t="s">
        <v>3</v>
      </c>
      <c r="DG158" t="s">
        <v>3</v>
      </c>
      <c r="DH158" t="s">
        <v>3</v>
      </c>
      <c r="DI158" t="s">
        <v>3</v>
      </c>
      <c r="DJ158" t="s">
        <v>3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1003</v>
      </c>
      <c r="DV158" t="s">
        <v>26</v>
      </c>
      <c r="DW158" t="s">
        <v>26</v>
      </c>
      <c r="DX158">
        <v>100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21</v>
      </c>
      <c r="EH158">
        <v>0</v>
      </c>
      <c r="EI158" t="s">
        <v>3</v>
      </c>
      <c r="EJ158">
        <v>4</v>
      </c>
      <c r="EK158">
        <v>0</v>
      </c>
      <c r="EL158" t="s">
        <v>22</v>
      </c>
      <c r="EM158" t="s">
        <v>23</v>
      </c>
      <c r="EO158" t="s">
        <v>3</v>
      </c>
      <c r="EQ158">
        <v>1311744</v>
      </c>
      <c r="ER158">
        <v>16907.419999999998</v>
      </c>
      <c r="ES158">
        <v>2728.22</v>
      </c>
      <c r="ET158">
        <v>0</v>
      </c>
      <c r="EU158">
        <v>0</v>
      </c>
      <c r="EV158">
        <v>14179.2</v>
      </c>
      <c r="EW158">
        <v>29.54</v>
      </c>
      <c r="EX158">
        <v>0</v>
      </c>
      <c r="EY158">
        <v>0</v>
      </c>
      <c r="FQ158">
        <v>0</v>
      </c>
      <c r="FR158">
        <f>ROUND(IF(BI158=3,GM158,0),2)</f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-317825441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>ROUND(IF(AND(BH158=3,BI158=3,FS158&lt;&gt;0),P158,0),2)</f>
        <v>0</v>
      </c>
      <c r="GM158">
        <f>ROUND(O158+X158+Y158+GK158,2)+GX158</f>
        <v>29380.82</v>
      </c>
      <c r="GN158">
        <f>IF(OR(BI158=0,BI158=1),GM158-GX158,0)</f>
        <v>0</v>
      </c>
      <c r="GO158">
        <f>IF(BI158=2,GM158-GX158,0)</f>
        <v>0</v>
      </c>
      <c r="GP158">
        <f>IF(BI158=4,GM158-GX158,0)</f>
        <v>29380.82</v>
      </c>
      <c r="GR158">
        <v>0</v>
      </c>
      <c r="GS158">
        <v>3</v>
      </c>
      <c r="GT158">
        <v>0</v>
      </c>
      <c r="GU158" t="s">
        <v>3</v>
      </c>
      <c r="GV158">
        <f>ROUND((GT158),6)</f>
        <v>0</v>
      </c>
      <c r="GW158">
        <v>1</v>
      </c>
      <c r="GX158">
        <f>ROUND(HC158*I158,2)</f>
        <v>0</v>
      </c>
      <c r="HA158">
        <v>0</v>
      </c>
      <c r="HB158">
        <v>0</v>
      </c>
      <c r="HC158">
        <f>GV158*GW158</f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0</v>
      </c>
      <c r="D159">
        <f>ROW(EtalonRes!A42)</f>
        <v>42</v>
      </c>
      <c r="E159" t="s">
        <v>3</v>
      </c>
      <c r="F159" t="s">
        <v>24</v>
      </c>
      <c r="G159" t="s">
        <v>25</v>
      </c>
      <c r="H159" t="s">
        <v>26</v>
      </c>
      <c r="I159">
        <f>ROUND((104)*0.1/100,9)</f>
        <v>0.104</v>
      </c>
      <c r="J159">
        <v>0</v>
      </c>
      <c r="K159">
        <f>ROUND((104)*0.1/100,9)</f>
        <v>0.104</v>
      </c>
      <c r="O159">
        <f>ROUND(CP159,2)</f>
        <v>210.48</v>
      </c>
      <c r="P159">
        <f>ROUND(CQ159*I159,2)</f>
        <v>0</v>
      </c>
      <c r="Q159">
        <f>ROUND(CR159*I159,2)</f>
        <v>0</v>
      </c>
      <c r="R159">
        <f>ROUND(CS159*I159,2)</f>
        <v>0</v>
      </c>
      <c r="S159">
        <f>ROUND(CT159*I159,2)</f>
        <v>210.48</v>
      </c>
      <c r="T159">
        <f>ROUND(CU159*I159,2)</f>
        <v>0</v>
      </c>
      <c r="U159">
        <f>CV159*I159</f>
        <v>0.37440000000000001</v>
      </c>
      <c r="V159">
        <f>CW159*I159</f>
        <v>0</v>
      </c>
      <c r="W159">
        <f>ROUND(CX159*I159,2)</f>
        <v>0</v>
      </c>
      <c r="X159">
        <f t="shared" si="129"/>
        <v>147.34</v>
      </c>
      <c r="Y159">
        <f t="shared" si="129"/>
        <v>21.05</v>
      </c>
      <c r="AA159">
        <v>-1</v>
      </c>
      <c r="AB159">
        <f>ROUND((AC159+AD159+AF159),6)</f>
        <v>2023.8</v>
      </c>
      <c r="AC159">
        <f>ROUND(((ES159*4)),6)</f>
        <v>0</v>
      </c>
      <c r="AD159">
        <f>ROUND(((((ET159*4))-((EU159*4)))+AE159),6)</f>
        <v>0</v>
      </c>
      <c r="AE159">
        <f>ROUND(((EU159*4)),6)</f>
        <v>0</v>
      </c>
      <c r="AF159">
        <f>ROUND(((EV159*4)),6)</f>
        <v>2023.8</v>
      </c>
      <c r="AG159">
        <f>ROUND((AP159),6)</f>
        <v>0</v>
      </c>
      <c r="AH159">
        <f>((EW159*4))</f>
        <v>3.6</v>
      </c>
      <c r="AI159">
        <f>((EX159*4))</f>
        <v>0</v>
      </c>
      <c r="AJ159">
        <f>(AS159)</f>
        <v>0</v>
      </c>
      <c r="AK159">
        <v>505.95</v>
      </c>
      <c r="AL159">
        <v>0</v>
      </c>
      <c r="AM159">
        <v>0</v>
      </c>
      <c r="AN159">
        <v>0</v>
      </c>
      <c r="AO159">
        <v>505.95</v>
      </c>
      <c r="AP159">
        <v>0</v>
      </c>
      <c r="AQ159">
        <v>0.9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27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>(P159+Q159+S159)</f>
        <v>210.48</v>
      </c>
      <c r="CQ159">
        <f>(AC159*BC159*AW159)</f>
        <v>0</v>
      </c>
      <c r="CR159">
        <f>(((((ET159*4))*BB159-((EU159*4))*BS159)+AE159*BS159)*AV159)</f>
        <v>0</v>
      </c>
      <c r="CS159">
        <f>(AE159*BS159*AV159)</f>
        <v>0</v>
      </c>
      <c r="CT159">
        <f>(AF159*BA159*AV159)</f>
        <v>2023.8</v>
      </c>
      <c r="CU159">
        <f>AG159</f>
        <v>0</v>
      </c>
      <c r="CV159">
        <f>(AH159*AV159)</f>
        <v>3.6</v>
      </c>
      <c r="CW159">
        <f t="shared" si="130"/>
        <v>0</v>
      </c>
      <c r="CX159">
        <f t="shared" si="130"/>
        <v>0</v>
      </c>
      <c r="CY159">
        <f>((S159*BZ159)/100)</f>
        <v>147.33599999999998</v>
      </c>
      <c r="CZ159">
        <f>((S159*CA159)/100)</f>
        <v>21.047999999999998</v>
      </c>
      <c r="DC159" t="s">
        <v>3</v>
      </c>
      <c r="DD159" t="s">
        <v>28</v>
      </c>
      <c r="DE159" t="s">
        <v>28</v>
      </c>
      <c r="DF159" t="s">
        <v>28</v>
      </c>
      <c r="DG159" t="s">
        <v>28</v>
      </c>
      <c r="DH159" t="s">
        <v>3</v>
      </c>
      <c r="DI159" t="s">
        <v>28</v>
      </c>
      <c r="DJ159" t="s">
        <v>28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1003</v>
      </c>
      <c r="DV159" t="s">
        <v>26</v>
      </c>
      <c r="DW159" t="s">
        <v>26</v>
      </c>
      <c r="DX159">
        <v>100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21</v>
      </c>
      <c r="EH159">
        <v>0</v>
      </c>
      <c r="EI159" t="s">
        <v>3</v>
      </c>
      <c r="EJ159">
        <v>4</v>
      </c>
      <c r="EK159">
        <v>0</v>
      </c>
      <c r="EL159" t="s">
        <v>22</v>
      </c>
      <c r="EM159" t="s">
        <v>23</v>
      </c>
      <c r="EO159" t="s">
        <v>3</v>
      </c>
      <c r="EQ159">
        <v>1024</v>
      </c>
      <c r="ER159">
        <v>505.95</v>
      </c>
      <c r="ES159">
        <v>0</v>
      </c>
      <c r="ET159">
        <v>0</v>
      </c>
      <c r="EU159">
        <v>0</v>
      </c>
      <c r="EV159">
        <v>505.95</v>
      </c>
      <c r="EW159">
        <v>0.9</v>
      </c>
      <c r="EX159">
        <v>0</v>
      </c>
      <c r="EY159">
        <v>0</v>
      </c>
      <c r="FQ159">
        <v>0</v>
      </c>
      <c r="FR159">
        <f>ROUND(IF(BI159=3,GM159,0),2)</f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-341239612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>ROUND(IF(AND(BH159=3,BI159=3,FS159&lt;&gt;0),P159,0),2)</f>
        <v>0</v>
      </c>
      <c r="GM159">
        <f>ROUND(O159+X159+Y159+GK159,2)+GX159</f>
        <v>378.87</v>
      </c>
      <c r="GN159">
        <f>IF(OR(BI159=0,BI159=1),GM159-GX159,0)</f>
        <v>0</v>
      </c>
      <c r="GO159">
        <f>IF(BI159=2,GM159-GX159,0)</f>
        <v>0</v>
      </c>
      <c r="GP159">
        <f>IF(BI159=4,GM159-GX159,0)</f>
        <v>378.87</v>
      </c>
      <c r="GR159">
        <v>0</v>
      </c>
      <c r="GS159">
        <v>3</v>
      </c>
      <c r="GT159">
        <v>0</v>
      </c>
      <c r="GU159" t="s">
        <v>3</v>
      </c>
      <c r="GV159">
        <f>ROUND((GT159),6)</f>
        <v>0</v>
      </c>
      <c r="GW159">
        <v>1</v>
      </c>
      <c r="GX159">
        <f>ROUND(HC159*I159,2)</f>
        <v>0</v>
      </c>
      <c r="HA159">
        <v>0</v>
      </c>
      <c r="HB159">
        <v>0</v>
      </c>
      <c r="HC159">
        <f>GV159*GW159</f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0</v>
      </c>
      <c r="C160">
        <f>ROW(SmtRes!A8)</f>
        <v>8</v>
      </c>
      <c r="D160">
        <f>ROW(EtalonRes!A43)</f>
        <v>43</v>
      </c>
      <c r="E160" t="s">
        <v>3</v>
      </c>
      <c r="F160" t="s">
        <v>142</v>
      </c>
      <c r="G160" t="s">
        <v>143</v>
      </c>
      <c r="H160" t="s">
        <v>32</v>
      </c>
      <c r="I160">
        <f>ROUND(20/10,9)</f>
        <v>2</v>
      </c>
      <c r="J160">
        <v>0</v>
      </c>
      <c r="K160">
        <f>ROUND(20/10,9)</f>
        <v>2</v>
      </c>
      <c r="O160">
        <f>ROUND(CP160,2)</f>
        <v>3606.16</v>
      </c>
      <c r="P160">
        <f>ROUND(CQ160*I160,2)</f>
        <v>0</v>
      </c>
      <c r="Q160">
        <f>ROUND(CR160*I160,2)</f>
        <v>0</v>
      </c>
      <c r="R160">
        <f>ROUND(CS160*I160,2)</f>
        <v>0</v>
      </c>
      <c r="S160">
        <f>ROUND(CT160*I160,2)</f>
        <v>3606.16</v>
      </c>
      <c r="T160">
        <f>ROUND(CU160*I160,2)</f>
        <v>0</v>
      </c>
      <c r="U160">
        <f>CV160*I160</f>
        <v>5.84</v>
      </c>
      <c r="V160">
        <f>CW160*I160</f>
        <v>0</v>
      </c>
      <c r="W160">
        <f>ROUND(CX160*I160,2)</f>
        <v>0</v>
      </c>
      <c r="X160">
        <f t="shared" si="129"/>
        <v>2524.31</v>
      </c>
      <c r="Y160">
        <f t="shared" si="129"/>
        <v>360.62</v>
      </c>
      <c r="AA160">
        <v>-1</v>
      </c>
      <c r="AB160">
        <f>ROUND((AC160+AD160+AF160),6)</f>
        <v>1803.08</v>
      </c>
      <c r="AC160">
        <f>ROUND(((ES160*4)),6)</f>
        <v>0</v>
      </c>
      <c r="AD160">
        <f>ROUND(((((ET160*4))-((EU160*4)))+AE160),6)</f>
        <v>0</v>
      </c>
      <c r="AE160">
        <f>ROUND(((EU160*4)),6)</f>
        <v>0</v>
      </c>
      <c r="AF160">
        <f>ROUND(((EV160*4)),6)</f>
        <v>1803.08</v>
      </c>
      <c r="AG160">
        <f>ROUND((AP160),6)</f>
        <v>0</v>
      </c>
      <c r="AH160">
        <f>((EW160*4))</f>
        <v>2.92</v>
      </c>
      <c r="AI160">
        <f>((EX160*4))</f>
        <v>0</v>
      </c>
      <c r="AJ160">
        <f>(AS160)</f>
        <v>0</v>
      </c>
      <c r="AK160">
        <v>450.77</v>
      </c>
      <c r="AL160">
        <v>0</v>
      </c>
      <c r="AM160">
        <v>0</v>
      </c>
      <c r="AN160">
        <v>0</v>
      </c>
      <c r="AO160">
        <v>450.77</v>
      </c>
      <c r="AP160">
        <v>0</v>
      </c>
      <c r="AQ160">
        <v>0.73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144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>(P160+Q160+S160)</f>
        <v>3606.16</v>
      </c>
      <c r="CQ160">
        <f>(AC160*BC160*AW160)</f>
        <v>0</v>
      </c>
      <c r="CR160">
        <f>(((((ET160*4))*BB160-((EU160*4))*BS160)+AE160*BS160)*AV160)</f>
        <v>0</v>
      </c>
      <c r="CS160">
        <f>(AE160*BS160*AV160)</f>
        <v>0</v>
      </c>
      <c r="CT160">
        <f>(AF160*BA160*AV160)</f>
        <v>1803.08</v>
      </c>
      <c r="CU160">
        <f>AG160</f>
        <v>0</v>
      </c>
      <c r="CV160">
        <f>(AH160*AV160)</f>
        <v>2.92</v>
      </c>
      <c r="CW160">
        <f t="shared" si="130"/>
        <v>0</v>
      </c>
      <c r="CX160">
        <f t="shared" si="130"/>
        <v>0</v>
      </c>
      <c r="CY160">
        <f>((S160*BZ160)/100)</f>
        <v>2524.3119999999999</v>
      </c>
      <c r="CZ160">
        <f>((S160*CA160)/100)</f>
        <v>360.61599999999999</v>
      </c>
      <c r="DC160" t="s">
        <v>3</v>
      </c>
      <c r="DD160" t="s">
        <v>104</v>
      </c>
      <c r="DE160" t="s">
        <v>104</v>
      </c>
      <c r="DF160" t="s">
        <v>104</v>
      </c>
      <c r="DG160" t="s">
        <v>104</v>
      </c>
      <c r="DH160" t="s">
        <v>3</v>
      </c>
      <c r="DI160" t="s">
        <v>104</v>
      </c>
      <c r="DJ160" t="s">
        <v>104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16987630</v>
      </c>
      <c r="DV160" t="s">
        <v>32</v>
      </c>
      <c r="DW160" t="s">
        <v>32</v>
      </c>
      <c r="DX160">
        <v>10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21</v>
      </c>
      <c r="EH160">
        <v>0</v>
      </c>
      <c r="EI160" t="s">
        <v>3</v>
      </c>
      <c r="EJ160">
        <v>4</v>
      </c>
      <c r="EK160">
        <v>0</v>
      </c>
      <c r="EL160" t="s">
        <v>22</v>
      </c>
      <c r="EM160" t="s">
        <v>23</v>
      </c>
      <c r="EO160" t="s">
        <v>3</v>
      </c>
      <c r="EQ160">
        <v>1024</v>
      </c>
      <c r="ER160">
        <v>450.77</v>
      </c>
      <c r="ES160">
        <v>0</v>
      </c>
      <c r="ET160">
        <v>0</v>
      </c>
      <c r="EU160">
        <v>0</v>
      </c>
      <c r="EV160">
        <v>450.77</v>
      </c>
      <c r="EW160">
        <v>0.73</v>
      </c>
      <c r="EX160">
        <v>0</v>
      </c>
      <c r="EY160">
        <v>0</v>
      </c>
      <c r="FQ160">
        <v>0</v>
      </c>
      <c r="FR160">
        <f>ROUND(IF(BI160=3,GM160,0),2)</f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-5601372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>ROUND(IF(AND(BH160=3,BI160=3,FS160&lt;&gt;0),P160,0),2)</f>
        <v>0</v>
      </c>
      <c r="GM160">
        <f>ROUND(O160+X160+Y160+GK160,2)+GX160</f>
        <v>6491.09</v>
      </c>
      <c r="GN160">
        <f>IF(OR(BI160=0,BI160=1),GM160-GX160,0)</f>
        <v>0</v>
      </c>
      <c r="GO160">
        <f>IF(BI160=2,GM160-GX160,0)</f>
        <v>0</v>
      </c>
      <c r="GP160">
        <f>IF(BI160=4,GM160-GX160,0)</f>
        <v>6491.09</v>
      </c>
      <c r="GR160">
        <v>0</v>
      </c>
      <c r="GS160">
        <v>3</v>
      </c>
      <c r="GT160">
        <v>0</v>
      </c>
      <c r="GU160" t="s">
        <v>3</v>
      </c>
      <c r="GV160">
        <f>ROUND((GT160),6)</f>
        <v>0</v>
      </c>
      <c r="GW160">
        <v>1</v>
      </c>
      <c r="GX160">
        <f>ROUND(HC160*I160,2)</f>
        <v>0</v>
      </c>
      <c r="HA160">
        <v>0</v>
      </c>
      <c r="HB160">
        <v>0</v>
      </c>
      <c r="HC160">
        <f>GV160*GW160</f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2" spans="1:206" x14ac:dyDescent="0.2">
      <c r="A162" s="2">
        <v>51</v>
      </c>
      <c r="B162" s="2">
        <f>B154</f>
        <v>0</v>
      </c>
      <c r="C162" s="2">
        <f>A154</f>
        <v>5</v>
      </c>
      <c r="D162" s="2">
        <f>ROW(A154)</f>
        <v>154</v>
      </c>
      <c r="E162" s="2"/>
      <c r="F162" s="2" t="str">
        <f>IF(F154&lt;&gt;"",F154,"")</f>
        <v>Новый подраздел</v>
      </c>
      <c r="G162" s="2" t="str">
        <f>IF(G154&lt;&gt;"",G154,"")</f>
        <v>Внутренний водосток (ливневая канализация) К2</v>
      </c>
      <c r="H162" s="2">
        <v>0</v>
      </c>
      <c r="I162" s="2"/>
      <c r="J162" s="2"/>
      <c r="K162" s="2"/>
      <c r="L162" s="2"/>
      <c r="M162" s="2"/>
      <c r="N162" s="2"/>
      <c r="O162" s="2">
        <f t="shared" ref="O162:T162" si="131">ROUND(AB162,2)</f>
        <v>0</v>
      </c>
      <c r="P162" s="2">
        <f t="shared" si="131"/>
        <v>0</v>
      </c>
      <c r="Q162" s="2">
        <f t="shared" si="131"/>
        <v>0</v>
      </c>
      <c r="R162" s="2">
        <f t="shared" si="131"/>
        <v>0</v>
      </c>
      <c r="S162" s="2">
        <f t="shared" si="131"/>
        <v>0</v>
      </c>
      <c r="T162" s="2">
        <f t="shared" si="131"/>
        <v>0</v>
      </c>
      <c r="U162" s="2">
        <f>AH162</f>
        <v>0</v>
      </c>
      <c r="V162" s="2">
        <f>AI162</f>
        <v>0</v>
      </c>
      <c r="W162" s="2">
        <f>ROUND(AJ162,2)</f>
        <v>0</v>
      </c>
      <c r="X162" s="2">
        <f>ROUND(AK162,2)</f>
        <v>0</v>
      </c>
      <c r="Y162" s="2">
        <f>ROUND(AL162,2)</f>
        <v>0</v>
      </c>
      <c r="Z162" s="2"/>
      <c r="AA162" s="2"/>
      <c r="AB162" s="2">
        <f>ROUND(SUMIF(AA158:AA160,"=1473080740",O158:O160),2)</f>
        <v>0</v>
      </c>
      <c r="AC162" s="2">
        <f>ROUND(SUMIF(AA158:AA160,"=1473080740",P158:P160),2)</f>
        <v>0</v>
      </c>
      <c r="AD162" s="2">
        <f>ROUND(SUMIF(AA158:AA160,"=1473080740",Q158:Q160),2)</f>
        <v>0</v>
      </c>
      <c r="AE162" s="2">
        <f>ROUND(SUMIF(AA158:AA160,"=1473080740",R158:R160),2)</f>
        <v>0</v>
      </c>
      <c r="AF162" s="2">
        <f>ROUND(SUMIF(AA158:AA160,"=1473080740",S158:S160),2)</f>
        <v>0</v>
      </c>
      <c r="AG162" s="2">
        <f>ROUND(SUMIF(AA158:AA160,"=1473080740",T158:T160),2)</f>
        <v>0</v>
      </c>
      <c r="AH162" s="2">
        <f>SUMIF(AA158:AA160,"=1473080740",U158:U160)</f>
        <v>0</v>
      </c>
      <c r="AI162" s="2">
        <f>SUMIF(AA158:AA160,"=1473080740",V158:V160)</f>
        <v>0</v>
      </c>
      <c r="AJ162" s="2">
        <f>ROUND(SUMIF(AA158:AA160,"=1473080740",W158:W160),2)</f>
        <v>0</v>
      </c>
      <c r="AK162" s="2">
        <f>ROUND(SUMIF(AA158:AA160,"=1473080740",X158:X160),2)</f>
        <v>0</v>
      </c>
      <c r="AL162" s="2">
        <f>ROUND(SUMIF(AA158:AA160,"=1473080740",Y158:Y160),2)</f>
        <v>0</v>
      </c>
      <c r="AM162" s="2"/>
      <c r="AN162" s="2"/>
      <c r="AO162" s="2">
        <f t="shared" ref="AO162:BD162" si="132">ROUND(BX162,2)</f>
        <v>0</v>
      </c>
      <c r="AP162" s="2">
        <f t="shared" si="132"/>
        <v>0</v>
      </c>
      <c r="AQ162" s="2">
        <f t="shared" si="132"/>
        <v>0</v>
      </c>
      <c r="AR162" s="2">
        <f t="shared" si="132"/>
        <v>0</v>
      </c>
      <c r="AS162" s="2">
        <f t="shared" si="132"/>
        <v>0</v>
      </c>
      <c r="AT162" s="2">
        <f t="shared" si="132"/>
        <v>0</v>
      </c>
      <c r="AU162" s="2">
        <f t="shared" si="132"/>
        <v>0</v>
      </c>
      <c r="AV162" s="2">
        <f t="shared" si="132"/>
        <v>0</v>
      </c>
      <c r="AW162" s="2">
        <f t="shared" si="132"/>
        <v>0</v>
      </c>
      <c r="AX162" s="2">
        <f t="shared" si="132"/>
        <v>0</v>
      </c>
      <c r="AY162" s="2">
        <f t="shared" si="132"/>
        <v>0</v>
      </c>
      <c r="AZ162" s="2">
        <f t="shared" si="132"/>
        <v>0</v>
      </c>
      <c r="BA162" s="2">
        <f t="shared" si="132"/>
        <v>0</v>
      </c>
      <c r="BB162" s="2">
        <f t="shared" si="132"/>
        <v>0</v>
      </c>
      <c r="BC162" s="2">
        <f t="shared" si="132"/>
        <v>0</v>
      </c>
      <c r="BD162" s="2">
        <f t="shared" si="132"/>
        <v>0</v>
      </c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>
        <f>ROUND(SUMIF(AA158:AA160,"=1473080740",FQ158:FQ160),2)</f>
        <v>0</v>
      </c>
      <c r="BY162" s="2">
        <f>ROUND(SUMIF(AA158:AA160,"=1473080740",FR158:FR160),2)</f>
        <v>0</v>
      </c>
      <c r="BZ162" s="2">
        <f>ROUND(SUMIF(AA158:AA160,"=1473080740",GL158:GL160),2)</f>
        <v>0</v>
      </c>
      <c r="CA162" s="2">
        <f>ROUND(SUMIF(AA158:AA160,"=1473080740",GM158:GM160),2)</f>
        <v>0</v>
      </c>
      <c r="CB162" s="2">
        <f>ROUND(SUMIF(AA158:AA160,"=1473080740",GN158:GN160),2)</f>
        <v>0</v>
      </c>
      <c r="CC162" s="2">
        <f>ROUND(SUMIF(AA158:AA160,"=1473080740",GO158:GO160),2)</f>
        <v>0</v>
      </c>
      <c r="CD162" s="2">
        <f>ROUND(SUMIF(AA158:AA160,"=1473080740",GP158:GP160),2)</f>
        <v>0</v>
      </c>
      <c r="CE162" s="2">
        <f>AC162-BX162</f>
        <v>0</v>
      </c>
      <c r="CF162" s="2">
        <f>AC162-BY162</f>
        <v>0</v>
      </c>
      <c r="CG162" s="2">
        <f>BX162-BZ162</f>
        <v>0</v>
      </c>
      <c r="CH162" s="2">
        <f>AC162-BX162-BY162+BZ162</f>
        <v>0</v>
      </c>
      <c r="CI162" s="2">
        <f>BY162-BZ162</f>
        <v>0</v>
      </c>
      <c r="CJ162" s="2">
        <f>ROUND(SUMIF(AA158:AA160,"=1473080740",GX158:GX160),2)</f>
        <v>0</v>
      </c>
      <c r="CK162" s="2">
        <f>ROUND(SUMIF(AA158:AA160,"=1473080740",GY158:GY160),2)</f>
        <v>0</v>
      </c>
      <c r="CL162" s="2">
        <f>ROUND(SUMIF(AA158:AA160,"=1473080740",GZ158:GZ160),2)</f>
        <v>0</v>
      </c>
      <c r="CM162" s="2">
        <f>ROUND(SUMIF(AA158:AA160,"=1473080740",HD158:HD160),2)</f>
        <v>0</v>
      </c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>
        <v>0</v>
      </c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201</v>
      </c>
      <c r="F164" s="4">
        <f>ROUND(Source!O162,O164)</f>
        <v>0</v>
      </c>
      <c r="G164" s="4" t="s">
        <v>43</v>
      </c>
      <c r="H164" s="4" t="s">
        <v>44</v>
      </c>
      <c r="I164" s="4"/>
      <c r="J164" s="4"/>
      <c r="K164" s="4">
        <v>201</v>
      </c>
      <c r="L164" s="4">
        <v>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202</v>
      </c>
      <c r="F165" s="4">
        <f>ROUND(Source!P162,O165)</f>
        <v>0</v>
      </c>
      <c r="G165" s="4" t="s">
        <v>45</v>
      </c>
      <c r="H165" s="4" t="s">
        <v>46</v>
      </c>
      <c r="I165" s="4"/>
      <c r="J165" s="4"/>
      <c r="K165" s="4">
        <v>202</v>
      </c>
      <c r="L165" s="4">
        <v>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222</v>
      </c>
      <c r="F166" s="4">
        <f>ROUND(Source!AO162,O166)</f>
        <v>0</v>
      </c>
      <c r="G166" s="4" t="s">
        <v>47</v>
      </c>
      <c r="H166" s="4" t="s">
        <v>48</v>
      </c>
      <c r="I166" s="4"/>
      <c r="J166" s="4"/>
      <c r="K166" s="4">
        <v>222</v>
      </c>
      <c r="L166" s="4">
        <v>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225</v>
      </c>
      <c r="F167" s="4">
        <f>ROUND(Source!AV162,O167)</f>
        <v>0</v>
      </c>
      <c r="G167" s="4" t="s">
        <v>49</v>
      </c>
      <c r="H167" s="4" t="s">
        <v>50</v>
      </c>
      <c r="I167" s="4"/>
      <c r="J167" s="4"/>
      <c r="K167" s="4">
        <v>225</v>
      </c>
      <c r="L167" s="4">
        <v>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226</v>
      </c>
      <c r="F168" s="4">
        <f>ROUND(Source!AW162,O168)</f>
        <v>0</v>
      </c>
      <c r="G168" s="4" t="s">
        <v>51</v>
      </c>
      <c r="H168" s="4" t="s">
        <v>52</v>
      </c>
      <c r="I168" s="4"/>
      <c r="J168" s="4"/>
      <c r="K168" s="4">
        <v>226</v>
      </c>
      <c r="L168" s="4">
        <v>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227</v>
      </c>
      <c r="F169" s="4">
        <f>ROUND(Source!AX162,O169)</f>
        <v>0</v>
      </c>
      <c r="G169" s="4" t="s">
        <v>53</v>
      </c>
      <c r="H169" s="4" t="s">
        <v>54</v>
      </c>
      <c r="I169" s="4"/>
      <c r="J169" s="4"/>
      <c r="K169" s="4">
        <v>227</v>
      </c>
      <c r="L169" s="4">
        <v>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228</v>
      </c>
      <c r="F170" s="4">
        <f>ROUND(Source!AY162,O170)</f>
        <v>0</v>
      </c>
      <c r="G170" s="4" t="s">
        <v>55</v>
      </c>
      <c r="H170" s="4" t="s">
        <v>56</v>
      </c>
      <c r="I170" s="4"/>
      <c r="J170" s="4"/>
      <c r="K170" s="4">
        <v>228</v>
      </c>
      <c r="L170" s="4">
        <v>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216</v>
      </c>
      <c r="F171" s="4">
        <f>ROUND(Source!AP162,O171)</f>
        <v>0</v>
      </c>
      <c r="G171" s="4" t="s">
        <v>57</v>
      </c>
      <c r="H171" s="4" t="s">
        <v>58</v>
      </c>
      <c r="I171" s="4"/>
      <c r="J171" s="4"/>
      <c r="K171" s="4">
        <v>216</v>
      </c>
      <c r="L171" s="4">
        <v>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223</v>
      </c>
      <c r="F172" s="4">
        <f>ROUND(Source!AQ162,O172)</f>
        <v>0</v>
      </c>
      <c r="G172" s="4" t="s">
        <v>59</v>
      </c>
      <c r="H172" s="4" t="s">
        <v>60</v>
      </c>
      <c r="I172" s="4"/>
      <c r="J172" s="4"/>
      <c r="K172" s="4">
        <v>223</v>
      </c>
      <c r="L172" s="4">
        <v>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229</v>
      </c>
      <c r="F173" s="4">
        <f>ROUND(Source!AZ162,O173)</f>
        <v>0</v>
      </c>
      <c r="G173" s="4" t="s">
        <v>61</v>
      </c>
      <c r="H173" s="4" t="s">
        <v>62</v>
      </c>
      <c r="I173" s="4"/>
      <c r="J173" s="4"/>
      <c r="K173" s="4">
        <v>229</v>
      </c>
      <c r="L173" s="4">
        <v>10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203</v>
      </c>
      <c r="F174" s="4">
        <f>ROUND(Source!Q162,O174)</f>
        <v>0</v>
      </c>
      <c r="G174" s="4" t="s">
        <v>63</v>
      </c>
      <c r="H174" s="4" t="s">
        <v>64</v>
      </c>
      <c r="I174" s="4"/>
      <c r="J174" s="4"/>
      <c r="K174" s="4">
        <v>203</v>
      </c>
      <c r="L174" s="4">
        <v>11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231</v>
      </c>
      <c r="F175" s="4">
        <f>ROUND(Source!BB162,O175)</f>
        <v>0</v>
      </c>
      <c r="G175" s="4" t="s">
        <v>65</v>
      </c>
      <c r="H175" s="4" t="s">
        <v>66</v>
      </c>
      <c r="I175" s="4"/>
      <c r="J175" s="4"/>
      <c r="K175" s="4">
        <v>231</v>
      </c>
      <c r="L175" s="4">
        <v>12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204</v>
      </c>
      <c r="F176" s="4">
        <f>ROUND(Source!R162,O176)</f>
        <v>0</v>
      </c>
      <c r="G176" s="4" t="s">
        <v>67</v>
      </c>
      <c r="H176" s="4" t="s">
        <v>68</v>
      </c>
      <c r="I176" s="4"/>
      <c r="J176" s="4"/>
      <c r="K176" s="4">
        <v>204</v>
      </c>
      <c r="L176" s="4">
        <v>13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88" x14ac:dyDescent="0.2">
      <c r="A177" s="4">
        <v>50</v>
      </c>
      <c r="B177" s="4">
        <v>0</v>
      </c>
      <c r="C177" s="4">
        <v>0</v>
      </c>
      <c r="D177" s="4">
        <v>1</v>
      </c>
      <c r="E177" s="4">
        <v>205</v>
      </c>
      <c r="F177" s="4">
        <f>ROUND(Source!S162,O177)</f>
        <v>0</v>
      </c>
      <c r="G177" s="4" t="s">
        <v>69</v>
      </c>
      <c r="H177" s="4" t="s">
        <v>70</v>
      </c>
      <c r="I177" s="4"/>
      <c r="J177" s="4"/>
      <c r="K177" s="4">
        <v>205</v>
      </c>
      <c r="L177" s="4">
        <v>14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88" x14ac:dyDescent="0.2">
      <c r="A178" s="4">
        <v>50</v>
      </c>
      <c r="B178" s="4">
        <v>0</v>
      </c>
      <c r="C178" s="4">
        <v>0</v>
      </c>
      <c r="D178" s="4">
        <v>1</v>
      </c>
      <c r="E178" s="4">
        <v>232</v>
      </c>
      <c r="F178" s="4">
        <f>ROUND(Source!BC162,O178)</f>
        <v>0</v>
      </c>
      <c r="G178" s="4" t="s">
        <v>71</v>
      </c>
      <c r="H178" s="4" t="s">
        <v>72</v>
      </c>
      <c r="I178" s="4"/>
      <c r="J178" s="4"/>
      <c r="K178" s="4">
        <v>232</v>
      </c>
      <c r="L178" s="4">
        <v>15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88" x14ac:dyDescent="0.2">
      <c r="A179" s="4">
        <v>50</v>
      </c>
      <c r="B179" s="4">
        <v>0</v>
      </c>
      <c r="C179" s="4">
        <v>0</v>
      </c>
      <c r="D179" s="4">
        <v>1</v>
      </c>
      <c r="E179" s="4">
        <v>214</v>
      </c>
      <c r="F179" s="4">
        <f>ROUND(Source!AS162,O179)</f>
        <v>0</v>
      </c>
      <c r="G179" s="4" t="s">
        <v>73</v>
      </c>
      <c r="H179" s="4" t="s">
        <v>74</v>
      </c>
      <c r="I179" s="4"/>
      <c r="J179" s="4"/>
      <c r="K179" s="4">
        <v>214</v>
      </c>
      <c r="L179" s="4">
        <v>16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88" x14ac:dyDescent="0.2">
      <c r="A180" s="4">
        <v>50</v>
      </c>
      <c r="B180" s="4">
        <v>0</v>
      </c>
      <c r="C180" s="4">
        <v>0</v>
      </c>
      <c r="D180" s="4">
        <v>1</v>
      </c>
      <c r="E180" s="4">
        <v>215</v>
      </c>
      <c r="F180" s="4">
        <f>ROUND(Source!AT162,O180)</f>
        <v>0</v>
      </c>
      <c r="G180" s="4" t="s">
        <v>75</v>
      </c>
      <c r="H180" s="4" t="s">
        <v>76</v>
      </c>
      <c r="I180" s="4"/>
      <c r="J180" s="4"/>
      <c r="K180" s="4">
        <v>215</v>
      </c>
      <c r="L180" s="4">
        <v>17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88" x14ac:dyDescent="0.2">
      <c r="A181" s="4">
        <v>50</v>
      </c>
      <c r="B181" s="4">
        <v>0</v>
      </c>
      <c r="C181" s="4">
        <v>0</v>
      </c>
      <c r="D181" s="4">
        <v>1</v>
      </c>
      <c r="E181" s="4">
        <v>217</v>
      </c>
      <c r="F181" s="4">
        <f>ROUND(Source!AU162,O181)</f>
        <v>0</v>
      </c>
      <c r="G181" s="4" t="s">
        <v>77</v>
      </c>
      <c r="H181" s="4" t="s">
        <v>78</v>
      </c>
      <c r="I181" s="4"/>
      <c r="J181" s="4"/>
      <c r="K181" s="4">
        <v>217</v>
      </c>
      <c r="L181" s="4">
        <v>18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88" x14ac:dyDescent="0.2">
      <c r="A182" s="4">
        <v>50</v>
      </c>
      <c r="B182" s="4">
        <v>0</v>
      </c>
      <c r="C182" s="4">
        <v>0</v>
      </c>
      <c r="D182" s="4">
        <v>1</v>
      </c>
      <c r="E182" s="4">
        <v>230</v>
      </c>
      <c r="F182" s="4">
        <f>ROUND(Source!BA162,O182)</f>
        <v>0</v>
      </c>
      <c r="G182" s="4" t="s">
        <v>79</v>
      </c>
      <c r="H182" s="4" t="s">
        <v>80</v>
      </c>
      <c r="I182" s="4"/>
      <c r="J182" s="4"/>
      <c r="K182" s="4">
        <v>230</v>
      </c>
      <c r="L182" s="4">
        <v>19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88" x14ac:dyDescent="0.2">
      <c r="A183" s="4">
        <v>50</v>
      </c>
      <c r="B183" s="4">
        <v>0</v>
      </c>
      <c r="C183" s="4">
        <v>0</v>
      </c>
      <c r="D183" s="4">
        <v>1</v>
      </c>
      <c r="E183" s="4">
        <v>206</v>
      </c>
      <c r="F183" s="4">
        <f>ROUND(Source!T162,O183)</f>
        <v>0</v>
      </c>
      <c r="G183" s="4" t="s">
        <v>81</v>
      </c>
      <c r="H183" s="4" t="s">
        <v>82</v>
      </c>
      <c r="I183" s="4"/>
      <c r="J183" s="4"/>
      <c r="K183" s="4">
        <v>206</v>
      </c>
      <c r="L183" s="4">
        <v>20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88" x14ac:dyDescent="0.2">
      <c r="A184" s="4">
        <v>50</v>
      </c>
      <c r="B184" s="4">
        <v>0</v>
      </c>
      <c r="C184" s="4">
        <v>0</v>
      </c>
      <c r="D184" s="4">
        <v>1</v>
      </c>
      <c r="E184" s="4">
        <v>207</v>
      </c>
      <c r="F184" s="4">
        <f>Source!U162</f>
        <v>0</v>
      </c>
      <c r="G184" s="4" t="s">
        <v>83</v>
      </c>
      <c r="H184" s="4" t="s">
        <v>84</v>
      </c>
      <c r="I184" s="4"/>
      <c r="J184" s="4"/>
      <c r="K184" s="4">
        <v>207</v>
      </c>
      <c r="L184" s="4">
        <v>21</v>
      </c>
      <c r="M184" s="4">
        <v>3</v>
      </c>
      <c r="N184" s="4" t="s">
        <v>3</v>
      </c>
      <c r="O184" s="4">
        <v>-1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88" x14ac:dyDescent="0.2">
      <c r="A185" s="4">
        <v>50</v>
      </c>
      <c r="B185" s="4">
        <v>0</v>
      </c>
      <c r="C185" s="4">
        <v>0</v>
      </c>
      <c r="D185" s="4">
        <v>1</v>
      </c>
      <c r="E185" s="4">
        <v>208</v>
      </c>
      <c r="F185" s="4">
        <f>Source!V162</f>
        <v>0</v>
      </c>
      <c r="G185" s="4" t="s">
        <v>85</v>
      </c>
      <c r="H185" s="4" t="s">
        <v>86</v>
      </c>
      <c r="I185" s="4"/>
      <c r="J185" s="4"/>
      <c r="K185" s="4">
        <v>208</v>
      </c>
      <c r="L185" s="4">
        <v>22</v>
      </c>
      <c r="M185" s="4">
        <v>3</v>
      </c>
      <c r="N185" s="4" t="s">
        <v>3</v>
      </c>
      <c r="O185" s="4">
        <v>-1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88" x14ac:dyDescent="0.2">
      <c r="A186" s="4">
        <v>50</v>
      </c>
      <c r="B186" s="4">
        <v>0</v>
      </c>
      <c r="C186" s="4">
        <v>0</v>
      </c>
      <c r="D186" s="4">
        <v>1</v>
      </c>
      <c r="E186" s="4">
        <v>209</v>
      </c>
      <c r="F186" s="4">
        <f>ROUND(Source!W162,O186)</f>
        <v>0</v>
      </c>
      <c r="G186" s="4" t="s">
        <v>87</v>
      </c>
      <c r="H186" s="4" t="s">
        <v>88</v>
      </c>
      <c r="I186" s="4"/>
      <c r="J186" s="4"/>
      <c r="K186" s="4">
        <v>209</v>
      </c>
      <c r="L186" s="4">
        <v>23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88" x14ac:dyDescent="0.2">
      <c r="A187" s="4">
        <v>50</v>
      </c>
      <c r="B187" s="4">
        <v>0</v>
      </c>
      <c r="C187" s="4">
        <v>0</v>
      </c>
      <c r="D187" s="4">
        <v>1</v>
      </c>
      <c r="E187" s="4">
        <v>233</v>
      </c>
      <c r="F187" s="4">
        <f>ROUND(Source!BD162,O187)</f>
        <v>0</v>
      </c>
      <c r="G187" s="4" t="s">
        <v>89</v>
      </c>
      <c r="H187" s="4" t="s">
        <v>90</v>
      </c>
      <c r="I187" s="4"/>
      <c r="J187" s="4"/>
      <c r="K187" s="4">
        <v>233</v>
      </c>
      <c r="L187" s="4">
        <v>24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88" x14ac:dyDescent="0.2">
      <c r="A188" s="4">
        <v>50</v>
      </c>
      <c r="B188" s="4">
        <v>0</v>
      </c>
      <c r="C188" s="4">
        <v>0</v>
      </c>
      <c r="D188" s="4">
        <v>1</v>
      </c>
      <c r="E188" s="4">
        <v>210</v>
      </c>
      <c r="F188" s="4">
        <f>ROUND(Source!X162,O188)</f>
        <v>0</v>
      </c>
      <c r="G188" s="4" t="s">
        <v>91</v>
      </c>
      <c r="H188" s="4" t="s">
        <v>92</v>
      </c>
      <c r="I188" s="4"/>
      <c r="J188" s="4"/>
      <c r="K188" s="4">
        <v>210</v>
      </c>
      <c r="L188" s="4">
        <v>25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88" x14ac:dyDescent="0.2">
      <c r="A189" s="4">
        <v>50</v>
      </c>
      <c r="B189" s="4">
        <v>0</v>
      </c>
      <c r="C189" s="4">
        <v>0</v>
      </c>
      <c r="D189" s="4">
        <v>1</v>
      </c>
      <c r="E189" s="4">
        <v>211</v>
      </c>
      <c r="F189" s="4">
        <f>ROUND(Source!Y162,O189)</f>
        <v>0</v>
      </c>
      <c r="G189" s="4" t="s">
        <v>93</v>
      </c>
      <c r="H189" s="4" t="s">
        <v>94</v>
      </c>
      <c r="I189" s="4"/>
      <c r="J189" s="4"/>
      <c r="K189" s="4">
        <v>211</v>
      </c>
      <c r="L189" s="4">
        <v>26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88" x14ac:dyDescent="0.2">
      <c r="A190" s="4">
        <v>50</v>
      </c>
      <c r="B190" s="4">
        <v>0</v>
      </c>
      <c r="C190" s="4">
        <v>0</v>
      </c>
      <c r="D190" s="4">
        <v>1</v>
      </c>
      <c r="E190" s="4">
        <v>224</v>
      </c>
      <c r="F190" s="4">
        <f>ROUND(Source!AR162,O190)</f>
        <v>0</v>
      </c>
      <c r="G190" s="4" t="s">
        <v>95</v>
      </c>
      <c r="H190" s="4" t="s">
        <v>96</v>
      </c>
      <c r="I190" s="4"/>
      <c r="J190" s="4"/>
      <c r="K190" s="4">
        <v>224</v>
      </c>
      <c r="L190" s="4">
        <v>27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2" spans="1:88" x14ac:dyDescent="0.2">
      <c r="A192" s="1">
        <v>5</v>
      </c>
      <c r="B192" s="1">
        <v>0</v>
      </c>
      <c r="C192" s="1"/>
      <c r="D192" s="1">
        <f>ROW(A199)</f>
        <v>199</v>
      </c>
      <c r="E192" s="1"/>
      <c r="F192" s="1" t="s">
        <v>14</v>
      </c>
      <c r="G192" s="1" t="s">
        <v>145</v>
      </c>
      <c r="H192" s="1" t="s">
        <v>3</v>
      </c>
      <c r="I192" s="1">
        <v>0</v>
      </c>
      <c r="J192" s="1"/>
      <c r="K192" s="1">
        <v>-1</v>
      </c>
      <c r="L192" s="1"/>
      <c r="M192" s="1" t="s">
        <v>3</v>
      </c>
      <c r="N192" s="1"/>
      <c r="O192" s="1"/>
      <c r="P192" s="1"/>
      <c r="Q192" s="1"/>
      <c r="R192" s="1"/>
      <c r="S192" s="1">
        <v>0</v>
      </c>
      <c r="T192" s="1"/>
      <c r="U192" s="1" t="s">
        <v>3</v>
      </c>
      <c r="V192" s="1">
        <v>0</v>
      </c>
      <c r="W192" s="1"/>
      <c r="X192" s="1"/>
      <c r="Y192" s="1"/>
      <c r="Z192" s="1"/>
      <c r="AA192" s="1"/>
      <c r="AB192" s="1" t="s">
        <v>3</v>
      </c>
      <c r="AC192" s="1" t="s">
        <v>3</v>
      </c>
      <c r="AD192" s="1" t="s">
        <v>3</v>
      </c>
      <c r="AE192" s="1" t="s">
        <v>3</v>
      </c>
      <c r="AF192" s="1" t="s">
        <v>3</v>
      </c>
      <c r="AG192" s="1" t="s">
        <v>3</v>
      </c>
      <c r="AH192" s="1"/>
      <c r="AI192" s="1"/>
      <c r="AJ192" s="1"/>
      <c r="AK192" s="1"/>
      <c r="AL192" s="1"/>
      <c r="AM192" s="1"/>
      <c r="AN192" s="1"/>
      <c r="AO192" s="1"/>
      <c r="AP192" s="1" t="s">
        <v>3</v>
      </c>
      <c r="AQ192" s="1" t="s">
        <v>3</v>
      </c>
      <c r="AR192" s="1" t="s">
        <v>3</v>
      </c>
      <c r="AS192" s="1"/>
      <c r="AT192" s="1"/>
      <c r="AU192" s="1"/>
      <c r="AV192" s="1"/>
      <c r="AW192" s="1"/>
      <c r="AX192" s="1"/>
      <c r="AY192" s="1"/>
      <c r="AZ192" s="1" t="s">
        <v>3</v>
      </c>
      <c r="BA192" s="1"/>
      <c r="BB192" s="1" t="s">
        <v>3</v>
      </c>
      <c r="BC192" s="1" t="s">
        <v>3</v>
      </c>
      <c r="BD192" s="1" t="s">
        <v>3</v>
      </c>
      <c r="BE192" s="1" t="s">
        <v>3</v>
      </c>
      <c r="BF192" s="1" t="s">
        <v>3</v>
      </c>
      <c r="BG192" s="1" t="s">
        <v>3</v>
      </c>
      <c r="BH192" s="1" t="s">
        <v>3</v>
      </c>
      <c r="BI192" s="1" t="s">
        <v>3</v>
      </c>
      <c r="BJ192" s="1" t="s">
        <v>3</v>
      </c>
      <c r="BK192" s="1" t="s">
        <v>3</v>
      </c>
      <c r="BL192" s="1" t="s">
        <v>3</v>
      </c>
      <c r="BM192" s="1" t="s">
        <v>3</v>
      </c>
      <c r="BN192" s="1" t="s">
        <v>3</v>
      </c>
      <c r="BO192" s="1" t="s">
        <v>3</v>
      </c>
      <c r="BP192" s="1" t="s">
        <v>3</v>
      </c>
      <c r="BQ192" s="1"/>
      <c r="BR192" s="1"/>
      <c r="BS192" s="1"/>
      <c r="BT192" s="1"/>
      <c r="BU192" s="1"/>
      <c r="BV192" s="1"/>
      <c r="BW192" s="1"/>
      <c r="BX192" s="1">
        <v>0</v>
      </c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>
        <v>0</v>
      </c>
    </row>
    <row r="194" spans="1:245" x14ac:dyDescent="0.2">
      <c r="A194" s="2">
        <v>52</v>
      </c>
      <c r="B194" s="2">
        <f t="shared" ref="B194:G194" si="133">B199</f>
        <v>0</v>
      </c>
      <c r="C194" s="2">
        <f t="shared" si="133"/>
        <v>5</v>
      </c>
      <c r="D194" s="2">
        <f t="shared" si="133"/>
        <v>192</v>
      </c>
      <c r="E194" s="2">
        <f t="shared" si="133"/>
        <v>0</v>
      </c>
      <c r="F194" s="2" t="str">
        <f t="shared" si="133"/>
        <v>Новый подраздел</v>
      </c>
      <c r="G194" s="2" t="str">
        <f t="shared" si="133"/>
        <v>Дождеприемники</v>
      </c>
      <c r="H194" s="2"/>
      <c r="I194" s="2"/>
      <c r="J194" s="2"/>
      <c r="K194" s="2"/>
      <c r="L194" s="2"/>
      <c r="M194" s="2"/>
      <c r="N194" s="2"/>
      <c r="O194" s="2">
        <f t="shared" ref="O194:AT194" si="134">O199</f>
        <v>0</v>
      </c>
      <c r="P194" s="2">
        <f t="shared" si="134"/>
        <v>0</v>
      </c>
      <c r="Q194" s="2">
        <f t="shared" si="134"/>
        <v>0</v>
      </c>
      <c r="R194" s="2">
        <f t="shared" si="134"/>
        <v>0</v>
      </c>
      <c r="S194" s="2">
        <f t="shared" si="134"/>
        <v>0</v>
      </c>
      <c r="T194" s="2">
        <f t="shared" si="134"/>
        <v>0</v>
      </c>
      <c r="U194" s="2">
        <f t="shared" si="134"/>
        <v>0</v>
      </c>
      <c r="V194" s="2">
        <f t="shared" si="134"/>
        <v>0</v>
      </c>
      <c r="W194" s="2">
        <f t="shared" si="134"/>
        <v>0</v>
      </c>
      <c r="X194" s="2">
        <f t="shared" si="134"/>
        <v>0</v>
      </c>
      <c r="Y194" s="2">
        <f t="shared" si="134"/>
        <v>0</v>
      </c>
      <c r="Z194" s="2">
        <f t="shared" si="134"/>
        <v>0</v>
      </c>
      <c r="AA194" s="2">
        <f t="shared" si="134"/>
        <v>0</v>
      </c>
      <c r="AB194" s="2">
        <f t="shared" si="134"/>
        <v>0</v>
      </c>
      <c r="AC194" s="2">
        <f t="shared" si="134"/>
        <v>0</v>
      </c>
      <c r="AD194" s="2">
        <f t="shared" si="134"/>
        <v>0</v>
      </c>
      <c r="AE194" s="2">
        <f t="shared" si="134"/>
        <v>0</v>
      </c>
      <c r="AF194" s="2">
        <f t="shared" si="134"/>
        <v>0</v>
      </c>
      <c r="AG194" s="2">
        <f t="shared" si="134"/>
        <v>0</v>
      </c>
      <c r="AH194" s="2">
        <f t="shared" si="134"/>
        <v>0</v>
      </c>
      <c r="AI194" s="2">
        <f t="shared" si="134"/>
        <v>0</v>
      </c>
      <c r="AJ194" s="2">
        <f t="shared" si="134"/>
        <v>0</v>
      </c>
      <c r="AK194" s="2">
        <f t="shared" si="134"/>
        <v>0</v>
      </c>
      <c r="AL194" s="2">
        <f t="shared" si="134"/>
        <v>0</v>
      </c>
      <c r="AM194" s="2">
        <f t="shared" si="134"/>
        <v>0</v>
      </c>
      <c r="AN194" s="2">
        <f t="shared" si="134"/>
        <v>0</v>
      </c>
      <c r="AO194" s="2">
        <f t="shared" si="134"/>
        <v>0</v>
      </c>
      <c r="AP194" s="2">
        <f t="shared" si="134"/>
        <v>0</v>
      </c>
      <c r="AQ194" s="2">
        <f t="shared" si="134"/>
        <v>0</v>
      </c>
      <c r="AR194" s="2">
        <f t="shared" si="134"/>
        <v>0</v>
      </c>
      <c r="AS194" s="2">
        <f t="shared" si="134"/>
        <v>0</v>
      </c>
      <c r="AT194" s="2">
        <f t="shared" si="134"/>
        <v>0</v>
      </c>
      <c r="AU194" s="2">
        <f t="shared" ref="AU194:BZ194" si="135">AU199</f>
        <v>0</v>
      </c>
      <c r="AV194" s="2">
        <f t="shared" si="135"/>
        <v>0</v>
      </c>
      <c r="AW194" s="2">
        <f t="shared" si="135"/>
        <v>0</v>
      </c>
      <c r="AX194" s="2">
        <f t="shared" si="135"/>
        <v>0</v>
      </c>
      <c r="AY194" s="2">
        <f t="shared" si="135"/>
        <v>0</v>
      </c>
      <c r="AZ194" s="2">
        <f t="shared" si="135"/>
        <v>0</v>
      </c>
      <c r="BA194" s="2">
        <f t="shared" si="135"/>
        <v>0</v>
      </c>
      <c r="BB194" s="2">
        <f t="shared" si="135"/>
        <v>0</v>
      </c>
      <c r="BC194" s="2">
        <f t="shared" si="135"/>
        <v>0</v>
      </c>
      <c r="BD194" s="2">
        <f t="shared" si="135"/>
        <v>0</v>
      </c>
      <c r="BE194" s="2">
        <f t="shared" si="135"/>
        <v>0</v>
      </c>
      <c r="BF194" s="2">
        <f t="shared" si="135"/>
        <v>0</v>
      </c>
      <c r="BG194" s="2">
        <f t="shared" si="135"/>
        <v>0</v>
      </c>
      <c r="BH194" s="2">
        <f t="shared" si="135"/>
        <v>0</v>
      </c>
      <c r="BI194" s="2">
        <f t="shared" si="135"/>
        <v>0</v>
      </c>
      <c r="BJ194" s="2">
        <f t="shared" si="135"/>
        <v>0</v>
      </c>
      <c r="BK194" s="2">
        <f t="shared" si="135"/>
        <v>0</v>
      </c>
      <c r="BL194" s="2">
        <f t="shared" si="135"/>
        <v>0</v>
      </c>
      <c r="BM194" s="2">
        <f t="shared" si="135"/>
        <v>0</v>
      </c>
      <c r="BN194" s="2">
        <f t="shared" si="135"/>
        <v>0</v>
      </c>
      <c r="BO194" s="2">
        <f t="shared" si="135"/>
        <v>0</v>
      </c>
      <c r="BP194" s="2">
        <f t="shared" si="135"/>
        <v>0</v>
      </c>
      <c r="BQ194" s="2">
        <f t="shared" si="135"/>
        <v>0</v>
      </c>
      <c r="BR194" s="2">
        <f t="shared" si="135"/>
        <v>0</v>
      </c>
      <c r="BS194" s="2">
        <f t="shared" si="135"/>
        <v>0</v>
      </c>
      <c r="BT194" s="2">
        <f t="shared" si="135"/>
        <v>0</v>
      </c>
      <c r="BU194" s="2">
        <f t="shared" si="135"/>
        <v>0</v>
      </c>
      <c r="BV194" s="2">
        <f t="shared" si="135"/>
        <v>0</v>
      </c>
      <c r="BW194" s="2">
        <f t="shared" si="135"/>
        <v>0</v>
      </c>
      <c r="BX194" s="2">
        <f t="shared" si="135"/>
        <v>0</v>
      </c>
      <c r="BY194" s="2">
        <f t="shared" si="135"/>
        <v>0</v>
      </c>
      <c r="BZ194" s="2">
        <f t="shared" si="135"/>
        <v>0</v>
      </c>
      <c r="CA194" s="2">
        <f t="shared" ref="CA194:DF194" si="136">CA199</f>
        <v>0</v>
      </c>
      <c r="CB194" s="2">
        <f t="shared" si="136"/>
        <v>0</v>
      </c>
      <c r="CC194" s="2">
        <f t="shared" si="136"/>
        <v>0</v>
      </c>
      <c r="CD194" s="2">
        <f t="shared" si="136"/>
        <v>0</v>
      </c>
      <c r="CE194" s="2">
        <f t="shared" si="136"/>
        <v>0</v>
      </c>
      <c r="CF194" s="2">
        <f t="shared" si="136"/>
        <v>0</v>
      </c>
      <c r="CG194" s="2">
        <f t="shared" si="136"/>
        <v>0</v>
      </c>
      <c r="CH194" s="2">
        <f t="shared" si="136"/>
        <v>0</v>
      </c>
      <c r="CI194" s="2">
        <f t="shared" si="136"/>
        <v>0</v>
      </c>
      <c r="CJ194" s="2">
        <f t="shared" si="136"/>
        <v>0</v>
      </c>
      <c r="CK194" s="2">
        <f t="shared" si="136"/>
        <v>0</v>
      </c>
      <c r="CL194" s="2">
        <f t="shared" si="136"/>
        <v>0</v>
      </c>
      <c r="CM194" s="2">
        <f t="shared" si="136"/>
        <v>0</v>
      </c>
      <c r="CN194" s="2">
        <f t="shared" si="136"/>
        <v>0</v>
      </c>
      <c r="CO194" s="2">
        <f t="shared" si="136"/>
        <v>0</v>
      </c>
      <c r="CP194" s="2">
        <f t="shared" si="136"/>
        <v>0</v>
      </c>
      <c r="CQ194" s="2">
        <f t="shared" si="136"/>
        <v>0</v>
      </c>
      <c r="CR194" s="2">
        <f t="shared" si="136"/>
        <v>0</v>
      </c>
      <c r="CS194" s="2">
        <f t="shared" si="136"/>
        <v>0</v>
      </c>
      <c r="CT194" s="2">
        <f t="shared" si="136"/>
        <v>0</v>
      </c>
      <c r="CU194" s="2">
        <f t="shared" si="136"/>
        <v>0</v>
      </c>
      <c r="CV194" s="2">
        <f t="shared" si="136"/>
        <v>0</v>
      </c>
      <c r="CW194" s="2">
        <f t="shared" si="136"/>
        <v>0</v>
      </c>
      <c r="CX194" s="2">
        <f t="shared" si="136"/>
        <v>0</v>
      </c>
      <c r="CY194" s="2">
        <f t="shared" si="136"/>
        <v>0</v>
      </c>
      <c r="CZ194" s="2">
        <f t="shared" si="136"/>
        <v>0</v>
      </c>
      <c r="DA194" s="2">
        <f t="shared" si="136"/>
        <v>0</v>
      </c>
      <c r="DB194" s="2">
        <f t="shared" si="136"/>
        <v>0</v>
      </c>
      <c r="DC194" s="2">
        <f t="shared" si="136"/>
        <v>0</v>
      </c>
      <c r="DD194" s="2">
        <f t="shared" si="136"/>
        <v>0</v>
      </c>
      <c r="DE194" s="2">
        <f t="shared" si="136"/>
        <v>0</v>
      </c>
      <c r="DF194" s="2">
        <f t="shared" si="136"/>
        <v>0</v>
      </c>
      <c r="DG194" s="3">
        <f t="shared" ref="DG194:EL194" si="137">DG199</f>
        <v>0</v>
      </c>
      <c r="DH194" s="3">
        <f t="shared" si="137"/>
        <v>0</v>
      </c>
      <c r="DI194" s="3">
        <f t="shared" si="137"/>
        <v>0</v>
      </c>
      <c r="DJ194" s="3">
        <f t="shared" si="137"/>
        <v>0</v>
      </c>
      <c r="DK194" s="3">
        <f t="shared" si="137"/>
        <v>0</v>
      </c>
      <c r="DL194" s="3">
        <f t="shared" si="137"/>
        <v>0</v>
      </c>
      <c r="DM194" s="3">
        <f t="shared" si="137"/>
        <v>0</v>
      </c>
      <c r="DN194" s="3">
        <f t="shared" si="137"/>
        <v>0</v>
      </c>
      <c r="DO194" s="3">
        <f t="shared" si="137"/>
        <v>0</v>
      </c>
      <c r="DP194" s="3">
        <f t="shared" si="137"/>
        <v>0</v>
      </c>
      <c r="DQ194" s="3">
        <f t="shared" si="137"/>
        <v>0</v>
      </c>
      <c r="DR194" s="3">
        <f t="shared" si="137"/>
        <v>0</v>
      </c>
      <c r="DS194" s="3">
        <f t="shared" si="137"/>
        <v>0</v>
      </c>
      <c r="DT194" s="3">
        <f t="shared" si="137"/>
        <v>0</v>
      </c>
      <c r="DU194" s="3">
        <f t="shared" si="137"/>
        <v>0</v>
      </c>
      <c r="DV194" s="3">
        <f t="shared" si="137"/>
        <v>0</v>
      </c>
      <c r="DW194" s="3">
        <f t="shared" si="137"/>
        <v>0</v>
      </c>
      <c r="DX194" s="3">
        <f t="shared" si="137"/>
        <v>0</v>
      </c>
      <c r="DY194" s="3">
        <f t="shared" si="137"/>
        <v>0</v>
      </c>
      <c r="DZ194" s="3">
        <f t="shared" si="137"/>
        <v>0</v>
      </c>
      <c r="EA194" s="3">
        <f t="shared" si="137"/>
        <v>0</v>
      </c>
      <c r="EB194" s="3">
        <f t="shared" si="137"/>
        <v>0</v>
      </c>
      <c r="EC194" s="3">
        <f t="shared" si="137"/>
        <v>0</v>
      </c>
      <c r="ED194" s="3">
        <f t="shared" si="137"/>
        <v>0</v>
      </c>
      <c r="EE194" s="3">
        <f t="shared" si="137"/>
        <v>0</v>
      </c>
      <c r="EF194" s="3">
        <f t="shared" si="137"/>
        <v>0</v>
      </c>
      <c r="EG194" s="3">
        <f t="shared" si="137"/>
        <v>0</v>
      </c>
      <c r="EH194" s="3">
        <f t="shared" si="137"/>
        <v>0</v>
      </c>
      <c r="EI194" s="3">
        <f t="shared" si="137"/>
        <v>0</v>
      </c>
      <c r="EJ194" s="3">
        <f t="shared" si="137"/>
        <v>0</v>
      </c>
      <c r="EK194" s="3">
        <f t="shared" si="137"/>
        <v>0</v>
      </c>
      <c r="EL194" s="3">
        <f t="shared" si="137"/>
        <v>0</v>
      </c>
      <c r="EM194" s="3">
        <f t="shared" ref="EM194:FR194" si="138">EM199</f>
        <v>0</v>
      </c>
      <c r="EN194" s="3">
        <f t="shared" si="138"/>
        <v>0</v>
      </c>
      <c r="EO194" s="3">
        <f t="shared" si="138"/>
        <v>0</v>
      </c>
      <c r="EP194" s="3">
        <f t="shared" si="138"/>
        <v>0</v>
      </c>
      <c r="EQ194" s="3">
        <f t="shared" si="138"/>
        <v>0</v>
      </c>
      <c r="ER194" s="3">
        <f t="shared" si="138"/>
        <v>0</v>
      </c>
      <c r="ES194" s="3">
        <f t="shared" si="138"/>
        <v>0</v>
      </c>
      <c r="ET194" s="3">
        <f t="shared" si="138"/>
        <v>0</v>
      </c>
      <c r="EU194" s="3">
        <f t="shared" si="138"/>
        <v>0</v>
      </c>
      <c r="EV194" s="3">
        <f t="shared" si="138"/>
        <v>0</v>
      </c>
      <c r="EW194" s="3">
        <f t="shared" si="138"/>
        <v>0</v>
      </c>
      <c r="EX194" s="3">
        <f t="shared" si="138"/>
        <v>0</v>
      </c>
      <c r="EY194" s="3">
        <f t="shared" si="138"/>
        <v>0</v>
      </c>
      <c r="EZ194" s="3">
        <f t="shared" si="138"/>
        <v>0</v>
      </c>
      <c r="FA194" s="3">
        <f t="shared" si="138"/>
        <v>0</v>
      </c>
      <c r="FB194" s="3">
        <f t="shared" si="138"/>
        <v>0</v>
      </c>
      <c r="FC194" s="3">
        <f t="shared" si="138"/>
        <v>0</v>
      </c>
      <c r="FD194" s="3">
        <f t="shared" si="138"/>
        <v>0</v>
      </c>
      <c r="FE194" s="3">
        <f t="shared" si="138"/>
        <v>0</v>
      </c>
      <c r="FF194" s="3">
        <f t="shared" si="138"/>
        <v>0</v>
      </c>
      <c r="FG194" s="3">
        <f t="shared" si="138"/>
        <v>0</v>
      </c>
      <c r="FH194" s="3">
        <f t="shared" si="138"/>
        <v>0</v>
      </c>
      <c r="FI194" s="3">
        <f t="shared" si="138"/>
        <v>0</v>
      </c>
      <c r="FJ194" s="3">
        <f t="shared" si="138"/>
        <v>0</v>
      </c>
      <c r="FK194" s="3">
        <f t="shared" si="138"/>
        <v>0</v>
      </c>
      <c r="FL194" s="3">
        <f t="shared" si="138"/>
        <v>0</v>
      </c>
      <c r="FM194" s="3">
        <f t="shared" si="138"/>
        <v>0</v>
      </c>
      <c r="FN194" s="3">
        <f t="shared" si="138"/>
        <v>0</v>
      </c>
      <c r="FO194" s="3">
        <f t="shared" si="138"/>
        <v>0</v>
      </c>
      <c r="FP194" s="3">
        <f t="shared" si="138"/>
        <v>0</v>
      </c>
      <c r="FQ194" s="3">
        <f t="shared" si="138"/>
        <v>0</v>
      </c>
      <c r="FR194" s="3">
        <f t="shared" si="138"/>
        <v>0</v>
      </c>
      <c r="FS194" s="3">
        <f t="shared" ref="FS194:GX194" si="139">FS199</f>
        <v>0</v>
      </c>
      <c r="FT194" s="3">
        <f t="shared" si="139"/>
        <v>0</v>
      </c>
      <c r="FU194" s="3">
        <f t="shared" si="139"/>
        <v>0</v>
      </c>
      <c r="FV194" s="3">
        <f t="shared" si="139"/>
        <v>0</v>
      </c>
      <c r="FW194" s="3">
        <f t="shared" si="139"/>
        <v>0</v>
      </c>
      <c r="FX194" s="3">
        <f t="shared" si="139"/>
        <v>0</v>
      </c>
      <c r="FY194" s="3">
        <f t="shared" si="139"/>
        <v>0</v>
      </c>
      <c r="FZ194" s="3">
        <f t="shared" si="139"/>
        <v>0</v>
      </c>
      <c r="GA194" s="3">
        <f t="shared" si="139"/>
        <v>0</v>
      </c>
      <c r="GB194" s="3">
        <f t="shared" si="139"/>
        <v>0</v>
      </c>
      <c r="GC194" s="3">
        <f t="shared" si="139"/>
        <v>0</v>
      </c>
      <c r="GD194" s="3">
        <f t="shared" si="139"/>
        <v>0</v>
      </c>
      <c r="GE194" s="3">
        <f t="shared" si="139"/>
        <v>0</v>
      </c>
      <c r="GF194" s="3">
        <f t="shared" si="139"/>
        <v>0</v>
      </c>
      <c r="GG194" s="3">
        <f t="shared" si="139"/>
        <v>0</v>
      </c>
      <c r="GH194" s="3">
        <f t="shared" si="139"/>
        <v>0</v>
      </c>
      <c r="GI194" s="3">
        <f t="shared" si="139"/>
        <v>0</v>
      </c>
      <c r="GJ194" s="3">
        <f t="shared" si="139"/>
        <v>0</v>
      </c>
      <c r="GK194" s="3">
        <f t="shared" si="139"/>
        <v>0</v>
      </c>
      <c r="GL194" s="3">
        <f t="shared" si="139"/>
        <v>0</v>
      </c>
      <c r="GM194" s="3">
        <f t="shared" si="139"/>
        <v>0</v>
      </c>
      <c r="GN194" s="3">
        <f t="shared" si="139"/>
        <v>0</v>
      </c>
      <c r="GO194" s="3">
        <f t="shared" si="139"/>
        <v>0</v>
      </c>
      <c r="GP194" s="3">
        <f t="shared" si="139"/>
        <v>0</v>
      </c>
      <c r="GQ194" s="3">
        <f t="shared" si="139"/>
        <v>0</v>
      </c>
      <c r="GR194" s="3">
        <f t="shared" si="139"/>
        <v>0</v>
      </c>
      <c r="GS194" s="3">
        <f t="shared" si="139"/>
        <v>0</v>
      </c>
      <c r="GT194" s="3">
        <f t="shared" si="139"/>
        <v>0</v>
      </c>
      <c r="GU194" s="3">
        <f t="shared" si="139"/>
        <v>0</v>
      </c>
      <c r="GV194" s="3">
        <f t="shared" si="139"/>
        <v>0</v>
      </c>
      <c r="GW194" s="3">
        <f t="shared" si="139"/>
        <v>0</v>
      </c>
      <c r="GX194" s="3">
        <f t="shared" si="139"/>
        <v>0</v>
      </c>
    </row>
    <row r="196" spans="1:245" x14ac:dyDescent="0.2">
      <c r="A196">
        <v>17</v>
      </c>
      <c r="B196">
        <v>0</v>
      </c>
      <c r="D196">
        <f>ROW(EtalonRes!A44)</f>
        <v>44</v>
      </c>
      <c r="E196" t="s">
        <v>3</v>
      </c>
      <c r="F196" t="s">
        <v>24</v>
      </c>
      <c r="G196" t="s">
        <v>25</v>
      </c>
      <c r="H196" t="s">
        <v>26</v>
      </c>
      <c r="I196">
        <f>ROUND((65)*0.1/100,9)</f>
        <v>6.5000000000000002E-2</v>
      </c>
      <c r="J196">
        <v>0</v>
      </c>
      <c r="K196">
        <f>ROUND((65)*0.1/100,9)</f>
        <v>6.5000000000000002E-2</v>
      </c>
      <c r="O196">
        <f>ROUND(CP196,2)</f>
        <v>131.55000000000001</v>
      </c>
      <c r="P196">
        <f>ROUND(CQ196*I196,2)</f>
        <v>0</v>
      </c>
      <c r="Q196">
        <f>ROUND(CR196*I196,2)</f>
        <v>0</v>
      </c>
      <c r="R196">
        <f>ROUND(CS196*I196,2)</f>
        <v>0</v>
      </c>
      <c r="S196">
        <f>ROUND(CT196*I196,2)</f>
        <v>131.55000000000001</v>
      </c>
      <c r="T196">
        <f>ROUND(CU196*I196,2)</f>
        <v>0</v>
      </c>
      <c r="U196">
        <f>CV196*I196</f>
        <v>0.23400000000000001</v>
      </c>
      <c r="V196">
        <f>CW196*I196</f>
        <v>0</v>
      </c>
      <c r="W196">
        <f>ROUND(CX196*I196,2)</f>
        <v>0</v>
      </c>
      <c r="X196">
        <f>ROUND(CY196,2)</f>
        <v>92.09</v>
      </c>
      <c r="Y196">
        <f>ROUND(CZ196,2)</f>
        <v>13.16</v>
      </c>
      <c r="AA196">
        <v>-1</v>
      </c>
      <c r="AB196">
        <f>ROUND((AC196+AD196+AF196),6)</f>
        <v>2023.8</v>
      </c>
      <c r="AC196">
        <f>ROUND(((ES196*4)),6)</f>
        <v>0</v>
      </c>
      <c r="AD196">
        <f>ROUND(((((ET196*4))-((EU196*4)))+AE196),6)</f>
        <v>0</v>
      </c>
      <c r="AE196">
        <f>ROUND(((EU196*4)),6)</f>
        <v>0</v>
      </c>
      <c r="AF196">
        <f>ROUND(((EV196*4)),6)</f>
        <v>2023.8</v>
      </c>
      <c r="AG196">
        <f>ROUND((AP196),6)</f>
        <v>0</v>
      </c>
      <c r="AH196">
        <f>((EW196*4))</f>
        <v>3.6</v>
      </c>
      <c r="AI196">
        <f>((EX196*4))</f>
        <v>0</v>
      </c>
      <c r="AJ196">
        <f>(AS196)</f>
        <v>0</v>
      </c>
      <c r="AK196">
        <v>505.95</v>
      </c>
      <c r="AL196">
        <v>0</v>
      </c>
      <c r="AM196">
        <v>0</v>
      </c>
      <c r="AN196">
        <v>0</v>
      </c>
      <c r="AO196">
        <v>505.95</v>
      </c>
      <c r="AP196">
        <v>0</v>
      </c>
      <c r="AQ196">
        <v>0.9</v>
      </c>
      <c r="AR196">
        <v>0</v>
      </c>
      <c r="AS196">
        <v>0</v>
      </c>
      <c r="AT196">
        <v>70</v>
      </c>
      <c r="AU196">
        <v>10</v>
      </c>
      <c r="AV196">
        <v>1</v>
      </c>
      <c r="AW196">
        <v>1</v>
      </c>
      <c r="AZ196">
        <v>1</v>
      </c>
      <c r="BA196">
        <v>1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4</v>
      </c>
      <c r="BJ196" t="s">
        <v>27</v>
      </c>
      <c r="BM196">
        <v>0</v>
      </c>
      <c r="BN196">
        <v>0</v>
      </c>
      <c r="BO196" t="s">
        <v>3</v>
      </c>
      <c r="BP196">
        <v>0</v>
      </c>
      <c r="BQ196">
        <v>1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70</v>
      </c>
      <c r="CA196">
        <v>10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>(P196+Q196+S196)</f>
        <v>131.55000000000001</v>
      </c>
      <c r="CQ196">
        <f>(AC196*BC196*AW196)</f>
        <v>0</v>
      </c>
      <c r="CR196">
        <f>(((((ET196*4))*BB196-((EU196*4))*BS196)+AE196*BS196)*AV196)</f>
        <v>0</v>
      </c>
      <c r="CS196">
        <f>(AE196*BS196*AV196)</f>
        <v>0</v>
      </c>
      <c r="CT196">
        <f>(AF196*BA196*AV196)</f>
        <v>2023.8</v>
      </c>
      <c r="CU196">
        <f>AG196</f>
        <v>0</v>
      </c>
      <c r="CV196">
        <f>(AH196*AV196)</f>
        <v>3.6</v>
      </c>
      <c r="CW196">
        <f>AI196</f>
        <v>0</v>
      </c>
      <c r="CX196">
        <f>AJ196</f>
        <v>0</v>
      </c>
      <c r="CY196">
        <f>((S196*BZ196)/100)</f>
        <v>92.084999999999994</v>
      </c>
      <c r="CZ196">
        <f>((S196*CA196)/100)</f>
        <v>13.154999999999999</v>
      </c>
      <c r="DC196" t="s">
        <v>3</v>
      </c>
      <c r="DD196" t="s">
        <v>28</v>
      </c>
      <c r="DE196" t="s">
        <v>28</v>
      </c>
      <c r="DF196" t="s">
        <v>28</v>
      </c>
      <c r="DG196" t="s">
        <v>28</v>
      </c>
      <c r="DH196" t="s">
        <v>3</v>
      </c>
      <c r="DI196" t="s">
        <v>28</v>
      </c>
      <c r="DJ196" t="s">
        <v>28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1003</v>
      </c>
      <c r="DV196" t="s">
        <v>26</v>
      </c>
      <c r="DW196" t="s">
        <v>26</v>
      </c>
      <c r="DX196">
        <v>100</v>
      </c>
      <c r="DZ196" t="s">
        <v>3</v>
      </c>
      <c r="EA196" t="s">
        <v>3</v>
      </c>
      <c r="EB196" t="s">
        <v>3</v>
      </c>
      <c r="EC196" t="s">
        <v>3</v>
      </c>
      <c r="EE196">
        <v>1441815344</v>
      </c>
      <c r="EF196">
        <v>1</v>
      </c>
      <c r="EG196" t="s">
        <v>21</v>
      </c>
      <c r="EH196">
        <v>0</v>
      </c>
      <c r="EI196" t="s">
        <v>3</v>
      </c>
      <c r="EJ196">
        <v>4</v>
      </c>
      <c r="EK196">
        <v>0</v>
      </c>
      <c r="EL196" t="s">
        <v>22</v>
      </c>
      <c r="EM196" t="s">
        <v>23</v>
      </c>
      <c r="EO196" t="s">
        <v>3</v>
      </c>
      <c r="EQ196">
        <v>1024</v>
      </c>
      <c r="ER196">
        <v>505.95</v>
      </c>
      <c r="ES196">
        <v>0</v>
      </c>
      <c r="ET196">
        <v>0</v>
      </c>
      <c r="EU196">
        <v>0</v>
      </c>
      <c r="EV196">
        <v>505.95</v>
      </c>
      <c r="EW196">
        <v>0.9</v>
      </c>
      <c r="EX196">
        <v>0</v>
      </c>
      <c r="EY196">
        <v>0</v>
      </c>
      <c r="FQ196">
        <v>0</v>
      </c>
      <c r="FR196">
        <f>ROUND(IF(BI196=3,GM196,0),2)</f>
        <v>0</v>
      </c>
      <c r="FS196">
        <v>0</v>
      </c>
      <c r="FX196">
        <v>70</v>
      </c>
      <c r="FY196">
        <v>10</v>
      </c>
      <c r="GA196" t="s">
        <v>3</v>
      </c>
      <c r="GD196">
        <v>0</v>
      </c>
      <c r="GF196">
        <v>-341239612</v>
      </c>
      <c r="GG196">
        <v>2</v>
      </c>
      <c r="GH196">
        <v>1</v>
      </c>
      <c r="GI196">
        <v>-2</v>
      </c>
      <c r="GJ196">
        <v>0</v>
      </c>
      <c r="GK196">
        <f>ROUND(R196*(R12)/100,2)</f>
        <v>0</v>
      </c>
      <c r="GL196">
        <f>ROUND(IF(AND(BH196=3,BI196=3,FS196&lt;&gt;0),P196,0),2)</f>
        <v>0</v>
      </c>
      <c r="GM196">
        <f>ROUND(O196+X196+Y196+GK196,2)+GX196</f>
        <v>236.8</v>
      </c>
      <c r="GN196">
        <f>IF(OR(BI196=0,BI196=1),GM196-GX196,0)</f>
        <v>0</v>
      </c>
      <c r="GO196">
        <f>IF(BI196=2,GM196-GX196,0)</f>
        <v>0</v>
      </c>
      <c r="GP196">
        <f>IF(BI196=4,GM196-GX196,0)</f>
        <v>236.8</v>
      </c>
      <c r="GR196">
        <v>0</v>
      </c>
      <c r="GS196">
        <v>3</v>
      </c>
      <c r="GT196">
        <v>0</v>
      </c>
      <c r="GU196" t="s">
        <v>3</v>
      </c>
      <c r="GV196">
        <f>ROUND((GT196),6)</f>
        <v>0</v>
      </c>
      <c r="GW196">
        <v>1</v>
      </c>
      <c r="GX196">
        <f>ROUND(HC196*I196,2)</f>
        <v>0</v>
      </c>
      <c r="HA196">
        <v>0</v>
      </c>
      <c r="HB196">
        <v>0</v>
      </c>
      <c r="HC196">
        <f>GV196*GW196</f>
        <v>0</v>
      </c>
      <c r="HE196" t="s">
        <v>3</v>
      </c>
      <c r="HF196" t="s">
        <v>3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IK196">
        <v>0</v>
      </c>
    </row>
    <row r="197" spans="1:245" x14ac:dyDescent="0.2">
      <c r="A197">
        <v>17</v>
      </c>
      <c r="B197">
        <v>0</v>
      </c>
      <c r="C197">
        <f>ROW(SmtRes!A9)</f>
        <v>9</v>
      </c>
      <c r="D197">
        <f>ROW(EtalonRes!A45)</f>
        <v>45</v>
      </c>
      <c r="E197" t="s">
        <v>3</v>
      </c>
      <c r="F197" t="s">
        <v>142</v>
      </c>
      <c r="G197" t="s">
        <v>146</v>
      </c>
      <c r="H197" t="s">
        <v>32</v>
      </c>
      <c r="I197">
        <f>ROUND(12/10,9)</f>
        <v>1.2</v>
      </c>
      <c r="J197">
        <v>0</v>
      </c>
      <c r="K197">
        <f>ROUND(12/10,9)</f>
        <v>1.2</v>
      </c>
      <c r="O197">
        <f>ROUND(CP197,2)</f>
        <v>2163.6999999999998</v>
      </c>
      <c r="P197">
        <f>ROUND(CQ197*I197,2)</f>
        <v>0</v>
      </c>
      <c r="Q197">
        <f>ROUND(CR197*I197,2)</f>
        <v>0</v>
      </c>
      <c r="R197">
        <f>ROUND(CS197*I197,2)</f>
        <v>0</v>
      </c>
      <c r="S197">
        <f>ROUND(CT197*I197,2)</f>
        <v>2163.6999999999998</v>
      </c>
      <c r="T197">
        <f>ROUND(CU197*I197,2)</f>
        <v>0</v>
      </c>
      <c r="U197">
        <f>CV197*I197</f>
        <v>3.504</v>
      </c>
      <c r="V197">
        <f>CW197*I197</f>
        <v>0</v>
      </c>
      <c r="W197">
        <f>ROUND(CX197*I197,2)</f>
        <v>0</v>
      </c>
      <c r="X197">
        <f>ROUND(CY197,2)</f>
        <v>1514.59</v>
      </c>
      <c r="Y197">
        <f>ROUND(CZ197,2)</f>
        <v>216.37</v>
      </c>
      <c r="AA197">
        <v>-1</v>
      </c>
      <c r="AB197">
        <f>ROUND((AC197+AD197+AF197),6)</f>
        <v>1803.08</v>
      </c>
      <c r="AC197">
        <f>ROUND(((ES197*4)),6)</f>
        <v>0</v>
      </c>
      <c r="AD197">
        <f>ROUND(((((ET197*4))-((EU197*4)))+AE197),6)</f>
        <v>0</v>
      </c>
      <c r="AE197">
        <f>ROUND(((EU197*4)),6)</f>
        <v>0</v>
      </c>
      <c r="AF197">
        <f>ROUND(((EV197*4)),6)</f>
        <v>1803.08</v>
      </c>
      <c r="AG197">
        <f>ROUND((AP197),6)</f>
        <v>0</v>
      </c>
      <c r="AH197">
        <f>((EW197*4))</f>
        <v>2.92</v>
      </c>
      <c r="AI197">
        <f>((EX197*4))</f>
        <v>0</v>
      </c>
      <c r="AJ197">
        <f>(AS197)</f>
        <v>0</v>
      </c>
      <c r="AK197">
        <v>450.77</v>
      </c>
      <c r="AL197">
        <v>0</v>
      </c>
      <c r="AM197">
        <v>0</v>
      </c>
      <c r="AN197">
        <v>0</v>
      </c>
      <c r="AO197">
        <v>450.77</v>
      </c>
      <c r="AP197">
        <v>0</v>
      </c>
      <c r="AQ197">
        <v>0.73</v>
      </c>
      <c r="AR197">
        <v>0</v>
      </c>
      <c r="AS197">
        <v>0</v>
      </c>
      <c r="AT197">
        <v>70</v>
      </c>
      <c r="AU197">
        <v>10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144</v>
      </c>
      <c r="BM197">
        <v>0</v>
      </c>
      <c r="BN197">
        <v>0</v>
      </c>
      <c r="BO197" t="s">
        <v>3</v>
      </c>
      <c r="BP197">
        <v>0</v>
      </c>
      <c r="BQ197">
        <v>1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10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>(P197+Q197+S197)</f>
        <v>2163.6999999999998</v>
      </c>
      <c r="CQ197">
        <f>(AC197*BC197*AW197)</f>
        <v>0</v>
      </c>
      <c r="CR197">
        <f>(((((ET197*4))*BB197-((EU197*4))*BS197)+AE197*BS197)*AV197)</f>
        <v>0</v>
      </c>
      <c r="CS197">
        <f>(AE197*BS197*AV197)</f>
        <v>0</v>
      </c>
      <c r="CT197">
        <f>(AF197*BA197*AV197)</f>
        <v>1803.08</v>
      </c>
      <c r="CU197">
        <f>AG197</f>
        <v>0</v>
      </c>
      <c r="CV197">
        <f>(AH197*AV197)</f>
        <v>2.92</v>
      </c>
      <c r="CW197">
        <f>AI197</f>
        <v>0</v>
      </c>
      <c r="CX197">
        <f>AJ197</f>
        <v>0</v>
      </c>
      <c r="CY197">
        <f>((S197*BZ197)/100)</f>
        <v>1514.59</v>
      </c>
      <c r="CZ197">
        <f>((S197*CA197)/100)</f>
        <v>216.37</v>
      </c>
      <c r="DC197" t="s">
        <v>3</v>
      </c>
      <c r="DD197" t="s">
        <v>104</v>
      </c>
      <c r="DE197" t="s">
        <v>104</v>
      </c>
      <c r="DF197" t="s">
        <v>104</v>
      </c>
      <c r="DG197" t="s">
        <v>104</v>
      </c>
      <c r="DH197" t="s">
        <v>3</v>
      </c>
      <c r="DI197" t="s">
        <v>104</v>
      </c>
      <c r="DJ197" t="s">
        <v>104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16987630</v>
      </c>
      <c r="DV197" t="s">
        <v>32</v>
      </c>
      <c r="DW197" t="s">
        <v>32</v>
      </c>
      <c r="DX197">
        <v>10</v>
      </c>
      <c r="DZ197" t="s">
        <v>3</v>
      </c>
      <c r="EA197" t="s">
        <v>3</v>
      </c>
      <c r="EB197" t="s">
        <v>3</v>
      </c>
      <c r="EC197" t="s">
        <v>3</v>
      </c>
      <c r="EE197">
        <v>1441815344</v>
      </c>
      <c r="EF197">
        <v>1</v>
      </c>
      <c r="EG197" t="s">
        <v>21</v>
      </c>
      <c r="EH197">
        <v>0</v>
      </c>
      <c r="EI197" t="s">
        <v>3</v>
      </c>
      <c r="EJ197">
        <v>4</v>
      </c>
      <c r="EK197">
        <v>0</v>
      </c>
      <c r="EL197" t="s">
        <v>22</v>
      </c>
      <c r="EM197" t="s">
        <v>23</v>
      </c>
      <c r="EO197" t="s">
        <v>3</v>
      </c>
      <c r="EQ197">
        <v>1024</v>
      </c>
      <c r="ER197">
        <v>450.77</v>
      </c>
      <c r="ES197">
        <v>0</v>
      </c>
      <c r="ET197">
        <v>0</v>
      </c>
      <c r="EU197">
        <v>0</v>
      </c>
      <c r="EV197">
        <v>450.77</v>
      </c>
      <c r="EW197">
        <v>0.73</v>
      </c>
      <c r="EX197">
        <v>0</v>
      </c>
      <c r="EY197">
        <v>0</v>
      </c>
      <c r="FQ197">
        <v>0</v>
      </c>
      <c r="FR197">
        <f>ROUND(IF(BI197=3,GM197,0),2)</f>
        <v>0</v>
      </c>
      <c r="FS197">
        <v>0</v>
      </c>
      <c r="FX197">
        <v>70</v>
      </c>
      <c r="FY197">
        <v>10</v>
      </c>
      <c r="GA197" t="s">
        <v>3</v>
      </c>
      <c r="GD197">
        <v>0</v>
      </c>
      <c r="GF197">
        <v>1708173190</v>
      </c>
      <c r="GG197">
        <v>2</v>
      </c>
      <c r="GH197">
        <v>1</v>
      </c>
      <c r="GI197">
        <v>-2</v>
      </c>
      <c r="GJ197">
        <v>0</v>
      </c>
      <c r="GK197">
        <f>ROUND(R197*(R12)/100,2)</f>
        <v>0</v>
      </c>
      <c r="GL197">
        <f>ROUND(IF(AND(BH197=3,BI197=3,FS197&lt;&gt;0),P197,0),2)</f>
        <v>0</v>
      </c>
      <c r="GM197">
        <f>ROUND(O197+X197+Y197+GK197,2)+GX197</f>
        <v>3894.66</v>
      </c>
      <c r="GN197">
        <f>IF(OR(BI197=0,BI197=1),GM197-GX197,0)</f>
        <v>0</v>
      </c>
      <c r="GO197">
        <f>IF(BI197=2,GM197-GX197,0)</f>
        <v>0</v>
      </c>
      <c r="GP197">
        <f>IF(BI197=4,GM197-GX197,0)</f>
        <v>3894.66</v>
      </c>
      <c r="GR197">
        <v>0</v>
      </c>
      <c r="GS197">
        <v>3</v>
      </c>
      <c r="GT197">
        <v>0</v>
      </c>
      <c r="GU197" t="s">
        <v>3</v>
      </c>
      <c r="GV197">
        <f>ROUND((GT197),6)</f>
        <v>0</v>
      </c>
      <c r="GW197">
        <v>1</v>
      </c>
      <c r="GX197">
        <f>ROUND(HC197*I197,2)</f>
        <v>0</v>
      </c>
      <c r="HA197">
        <v>0</v>
      </c>
      <c r="HB197">
        <v>0</v>
      </c>
      <c r="HC197">
        <f>GV197*GW197</f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9" spans="1:245" x14ac:dyDescent="0.2">
      <c r="A199" s="2">
        <v>51</v>
      </c>
      <c r="B199" s="2">
        <f>B192</f>
        <v>0</v>
      </c>
      <c r="C199" s="2">
        <f>A192</f>
        <v>5</v>
      </c>
      <c r="D199" s="2">
        <f>ROW(A192)</f>
        <v>192</v>
      </c>
      <c r="E199" s="2"/>
      <c r="F199" s="2" t="str">
        <f>IF(F192&lt;&gt;"",F192,"")</f>
        <v>Новый подраздел</v>
      </c>
      <c r="G199" s="2" t="str">
        <f>IF(G192&lt;&gt;"",G192,"")</f>
        <v>Дождеприемники</v>
      </c>
      <c r="H199" s="2">
        <v>0</v>
      </c>
      <c r="I199" s="2"/>
      <c r="J199" s="2"/>
      <c r="K199" s="2"/>
      <c r="L199" s="2"/>
      <c r="M199" s="2"/>
      <c r="N199" s="2"/>
      <c r="O199" s="2">
        <f t="shared" ref="O199:T199" si="140">ROUND(AB199,2)</f>
        <v>0</v>
      </c>
      <c r="P199" s="2">
        <f t="shared" si="140"/>
        <v>0</v>
      </c>
      <c r="Q199" s="2">
        <f t="shared" si="140"/>
        <v>0</v>
      </c>
      <c r="R199" s="2">
        <f t="shared" si="140"/>
        <v>0</v>
      </c>
      <c r="S199" s="2">
        <f t="shared" si="140"/>
        <v>0</v>
      </c>
      <c r="T199" s="2">
        <f t="shared" si="140"/>
        <v>0</v>
      </c>
      <c r="U199" s="2">
        <f>AH199</f>
        <v>0</v>
      </c>
      <c r="V199" s="2">
        <f>AI199</f>
        <v>0</v>
      </c>
      <c r="W199" s="2">
        <f>ROUND(AJ199,2)</f>
        <v>0</v>
      </c>
      <c r="X199" s="2">
        <f>ROUND(AK199,2)</f>
        <v>0</v>
      </c>
      <c r="Y199" s="2">
        <f>ROUND(AL199,2)</f>
        <v>0</v>
      </c>
      <c r="Z199" s="2"/>
      <c r="AA199" s="2"/>
      <c r="AB199" s="2">
        <f>ROUND(SUMIF(AA196:AA197,"=1473080740",O196:O197),2)</f>
        <v>0</v>
      </c>
      <c r="AC199" s="2">
        <f>ROUND(SUMIF(AA196:AA197,"=1473080740",P196:P197),2)</f>
        <v>0</v>
      </c>
      <c r="AD199" s="2">
        <f>ROUND(SUMIF(AA196:AA197,"=1473080740",Q196:Q197),2)</f>
        <v>0</v>
      </c>
      <c r="AE199" s="2">
        <f>ROUND(SUMIF(AA196:AA197,"=1473080740",R196:R197),2)</f>
        <v>0</v>
      </c>
      <c r="AF199" s="2">
        <f>ROUND(SUMIF(AA196:AA197,"=1473080740",S196:S197),2)</f>
        <v>0</v>
      </c>
      <c r="AG199" s="2">
        <f>ROUND(SUMIF(AA196:AA197,"=1473080740",T196:T197),2)</f>
        <v>0</v>
      </c>
      <c r="AH199" s="2">
        <f>SUMIF(AA196:AA197,"=1473080740",U196:U197)</f>
        <v>0</v>
      </c>
      <c r="AI199" s="2">
        <f>SUMIF(AA196:AA197,"=1473080740",V196:V197)</f>
        <v>0</v>
      </c>
      <c r="AJ199" s="2">
        <f>ROUND(SUMIF(AA196:AA197,"=1473080740",W196:W197),2)</f>
        <v>0</v>
      </c>
      <c r="AK199" s="2">
        <f>ROUND(SUMIF(AA196:AA197,"=1473080740",X196:X197),2)</f>
        <v>0</v>
      </c>
      <c r="AL199" s="2">
        <f>ROUND(SUMIF(AA196:AA197,"=1473080740",Y196:Y197),2)</f>
        <v>0</v>
      </c>
      <c r="AM199" s="2"/>
      <c r="AN199" s="2"/>
      <c r="AO199" s="2">
        <f t="shared" ref="AO199:BD199" si="141">ROUND(BX199,2)</f>
        <v>0</v>
      </c>
      <c r="AP199" s="2">
        <f t="shared" si="141"/>
        <v>0</v>
      </c>
      <c r="AQ199" s="2">
        <f t="shared" si="141"/>
        <v>0</v>
      </c>
      <c r="AR199" s="2">
        <f t="shared" si="141"/>
        <v>0</v>
      </c>
      <c r="AS199" s="2">
        <f t="shared" si="141"/>
        <v>0</v>
      </c>
      <c r="AT199" s="2">
        <f t="shared" si="141"/>
        <v>0</v>
      </c>
      <c r="AU199" s="2">
        <f t="shared" si="141"/>
        <v>0</v>
      </c>
      <c r="AV199" s="2">
        <f t="shared" si="141"/>
        <v>0</v>
      </c>
      <c r="AW199" s="2">
        <f t="shared" si="141"/>
        <v>0</v>
      </c>
      <c r="AX199" s="2">
        <f t="shared" si="141"/>
        <v>0</v>
      </c>
      <c r="AY199" s="2">
        <f t="shared" si="141"/>
        <v>0</v>
      </c>
      <c r="AZ199" s="2">
        <f t="shared" si="141"/>
        <v>0</v>
      </c>
      <c r="BA199" s="2">
        <f t="shared" si="141"/>
        <v>0</v>
      </c>
      <c r="BB199" s="2">
        <f t="shared" si="141"/>
        <v>0</v>
      </c>
      <c r="BC199" s="2">
        <f t="shared" si="141"/>
        <v>0</v>
      </c>
      <c r="BD199" s="2">
        <f t="shared" si="141"/>
        <v>0</v>
      </c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>
        <f>ROUND(SUMIF(AA196:AA197,"=1473080740",FQ196:FQ197),2)</f>
        <v>0</v>
      </c>
      <c r="BY199" s="2">
        <f>ROUND(SUMIF(AA196:AA197,"=1473080740",FR196:FR197),2)</f>
        <v>0</v>
      </c>
      <c r="BZ199" s="2">
        <f>ROUND(SUMIF(AA196:AA197,"=1473080740",GL196:GL197),2)</f>
        <v>0</v>
      </c>
      <c r="CA199" s="2">
        <f>ROUND(SUMIF(AA196:AA197,"=1473080740",GM196:GM197),2)</f>
        <v>0</v>
      </c>
      <c r="CB199" s="2">
        <f>ROUND(SUMIF(AA196:AA197,"=1473080740",GN196:GN197),2)</f>
        <v>0</v>
      </c>
      <c r="CC199" s="2">
        <f>ROUND(SUMIF(AA196:AA197,"=1473080740",GO196:GO197),2)</f>
        <v>0</v>
      </c>
      <c r="CD199" s="2">
        <f>ROUND(SUMIF(AA196:AA197,"=1473080740",GP196:GP197),2)</f>
        <v>0</v>
      </c>
      <c r="CE199" s="2">
        <f>AC199-BX199</f>
        <v>0</v>
      </c>
      <c r="CF199" s="2">
        <f>AC199-BY199</f>
        <v>0</v>
      </c>
      <c r="CG199" s="2">
        <f>BX199-BZ199</f>
        <v>0</v>
      </c>
      <c r="CH199" s="2">
        <f>AC199-BX199-BY199+BZ199</f>
        <v>0</v>
      </c>
      <c r="CI199" s="2">
        <f>BY199-BZ199</f>
        <v>0</v>
      </c>
      <c r="CJ199" s="2">
        <f>ROUND(SUMIF(AA196:AA197,"=1473080740",GX196:GX197),2)</f>
        <v>0</v>
      </c>
      <c r="CK199" s="2">
        <f>ROUND(SUMIF(AA196:AA197,"=1473080740",GY196:GY197),2)</f>
        <v>0</v>
      </c>
      <c r="CL199" s="2">
        <f>ROUND(SUMIF(AA196:AA197,"=1473080740",GZ196:GZ197),2)</f>
        <v>0</v>
      </c>
      <c r="CM199" s="2">
        <f>ROUND(SUMIF(AA196:AA197,"=1473080740",HD196:HD197),2)</f>
        <v>0</v>
      </c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>
        <v>0</v>
      </c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201</v>
      </c>
      <c r="F201" s="4">
        <f>ROUND(Source!O199,O201)</f>
        <v>0</v>
      </c>
      <c r="G201" s="4" t="s">
        <v>43</v>
      </c>
      <c r="H201" s="4" t="s">
        <v>44</v>
      </c>
      <c r="I201" s="4"/>
      <c r="J201" s="4"/>
      <c r="K201" s="4">
        <v>201</v>
      </c>
      <c r="L201" s="4">
        <v>1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202</v>
      </c>
      <c r="F202" s="4">
        <f>ROUND(Source!P199,O202)</f>
        <v>0</v>
      </c>
      <c r="G202" s="4" t="s">
        <v>45</v>
      </c>
      <c r="H202" s="4" t="s">
        <v>46</v>
      </c>
      <c r="I202" s="4"/>
      <c r="J202" s="4"/>
      <c r="K202" s="4">
        <v>202</v>
      </c>
      <c r="L202" s="4">
        <v>2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222</v>
      </c>
      <c r="F203" s="4">
        <f>ROUND(Source!AO199,O203)</f>
        <v>0</v>
      </c>
      <c r="G203" s="4" t="s">
        <v>47</v>
      </c>
      <c r="H203" s="4" t="s">
        <v>48</v>
      </c>
      <c r="I203" s="4"/>
      <c r="J203" s="4"/>
      <c r="K203" s="4">
        <v>222</v>
      </c>
      <c r="L203" s="4">
        <v>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225</v>
      </c>
      <c r="F204" s="4">
        <f>ROUND(Source!AV199,O204)</f>
        <v>0</v>
      </c>
      <c r="G204" s="4" t="s">
        <v>49</v>
      </c>
      <c r="H204" s="4" t="s">
        <v>50</v>
      </c>
      <c r="I204" s="4"/>
      <c r="J204" s="4"/>
      <c r="K204" s="4">
        <v>225</v>
      </c>
      <c r="L204" s="4">
        <v>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226</v>
      </c>
      <c r="F205" s="4">
        <f>ROUND(Source!AW199,O205)</f>
        <v>0</v>
      </c>
      <c r="G205" s="4" t="s">
        <v>51</v>
      </c>
      <c r="H205" s="4" t="s">
        <v>52</v>
      </c>
      <c r="I205" s="4"/>
      <c r="J205" s="4"/>
      <c r="K205" s="4">
        <v>226</v>
      </c>
      <c r="L205" s="4">
        <v>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227</v>
      </c>
      <c r="F206" s="4">
        <f>ROUND(Source!AX199,O206)</f>
        <v>0</v>
      </c>
      <c r="G206" s="4" t="s">
        <v>53</v>
      </c>
      <c r="H206" s="4" t="s">
        <v>54</v>
      </c>
      <c r="I206" s="4"/>
      <c r="J206" s="4"/>
      <c r="K206" s="4">
        <v>227</v>
      </c>
      <c r="L206" s="4">
        <v>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228</v>
      </c>
      <c r="F207" s="4">
        <f>ROUND(Source!AY199,O207)</f>
        <v>0</v>
      </c>
      <c r="G207" s="4" t="s">
        <v>55</v>
      </c>
      <c r="H207" s="4" t="s">
        <v>56</v>
      </c>
      <c r="I207" s="4"/>
      <c r="J207" s="4"/>
      <c r="K207" s="4">
        <v>228</v>
      </c>
      <c r="L207" s="4">
        <v>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216</v>
      </c>
      <c r="F208" s="4">
        <f>ROUND(Source!AP199,O208)</f>
        <v>0</v>
      </c>
      <c r="G208" s="4" t="s">
        <v>57</v>
      </c>
      <c r="H208" s="4" t="s">
        <v>58</v>
      </c>
      <c r="I208" s="4"/>
      <c r="J208" s="4"/>
      <c r="K208" s="4">
        <v>216</v>
      </c>
      <c r="L208" s="4">
        <v>8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223</v>
      </c>
      <c r="F209" s="4">
        <f>ROUND(Source!AQ199,O209)</f>
        <v>0</v>
      </c>
      <c r="G209" s="4" t="s">
        <v>59</v>
      </c>
      <c r="H209" s="4" t="s">
        <v>60</v>
      </c>
      <c r="I209" s="4"/>
      <c r="J209" s="4"/>
      <c r="K209" s="4">
        <v>223</v>
      </c>
      <c r="L209" s="4">
        <v>9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229</v>
      </c>
      <c r="F210" s="4">
        <f>ROUND(Source!AZ199,O210)</f>
        <v>0</v>
      </c>
      <c r="G210" s="4" t="s">
        <v>61</v>
      </c>
      <c r="H210" s="4" t="s">
        <v>62</v>
      </c>
      <c r="I210" s="4"/>
      <c r="J210" s="4"/>
      <c r="K210" s="4">
        <v>229</v>
      </c>
      <c r="L210" s="4">
        <v>10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203</v>
      </c>
      <c r="F211" s="4">
        <f>ROUND(Source!Q199,O211)</f>
        <v>0</v>
      </c>
      <c r="G211" s="4" t="s">
        <v>63</v>
      </c>
      <c r="H211" s="4" t="s">
        <v>64</v>
      </c>
      <c r="I211" s="4"/>
      <c r="J211" s="4"/>
      <c r="K211" s="4">
        <v>203</v>
      </c>
      <c r="L211" s="4">
        <v>11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231</v>
      </c>
      <c r="F212" s="4">
        <f>ROUND(Source!BB199,O212)</f>
        <v>0</v>
      </c>
      <c r="G212" s="4" t="s">
        <v>65</v>
      </c>
      <c r="H212" s="4" t="s">
        <v>66</v>
      </c>
      <c r="I212" s="4"/>
      <c r="J212" s="4"/>
      <c r="K212" s="4">
        <v>231</v>
      </c>
      <c r="L212" s="4">
        <v>12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204</v>
      </c>
      <c r="F213" s="4">
        <f>ROUND(Source!R199,O213)</f>
        <v>0</v>
      </c>
      <c r="G213" s="4" t="s">
        <v>67</v>
      </c>
      <c r="H213" s="4" t="s">
        <v>68</v>
      </c>
      <c r="I213" s="4"/>
      <c r="J213" s="4"/>
      <c r="K213" s="4">
        <v>204</v>
      </c>
      <c r="L213" s="4">
        <v>13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205</v>
      </c>
      <c r="F214" s="4">
        <f>ROUND(Source!S199,O214)</f>
        <v>0</v>
      </c>
      <c r="G214" s="4" t="s">
        <v>69</v>
      </c>
      <c r="H214" s="4" t="s">
        <v>70</v>
      </c>
      <c r="I214" s="4"/>
      <c r="J214" s="4"/>
      <c r="K214" s="4">
        <v>205</v>
      </c>
      <c r="L214" s="4">
        <v>14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232</v>
      </c>
      <c r="F215" s="4">
        <f>ROUND(Source!BC199,O215)</f>
        <v>0</v>
      </c>
      <c r="G215" s="4" t="s">
        <v>71</v>
      </c>
      <c r="H215" s="4" t="s">
        <v>72</v>
      </c>
      <c r="I215" s="4"/>
      <c r="J215" s="4"/>
      <c r="K215" s="4">
        <v>232</v>
      </c>
      <c r="L215" s="4">
        <v>15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214</v>
      </c>
      <c r="F216" s="4">
        <f>ROUND(Source!AS199,O216)</f>
        <v>0</v>
      </c>
      <c r="G216" s="4" t="s">
        <v>73</v>
      </c>
      <c r="H216" s="4" t="s">
        <v>74</v>
      </c>
      <c r="I216" s="4"/>
      <c r="J216" s="4"/>
      <c r="K216" s="4">
        <v>214</v>
      </c>
      <c r="L216" s="4">
        <v>16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215</v>
      </c>
      <c r="F217" s="4">
        <f>ROUND(Source!AT199,O217)</f>
        <v>0</v>
      </c>
      <c r="G217" s="4" t="s">
        <v>75</v>
      </c>
      <c r="H217" s="4" t="s">
        <v>76</v>
      </c>
      <c r="I217" s="4"/>
      <c r="J217" s="4"/>
      <c r="K217" s="4">
        <v>215</v>
      </c>
      <c r="L217" s="4">
        <v>17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217</v>
      </c>
      <c r="F218" s="4">
        <f>ROUND(Source!AU199,O218)</f>
        <v>0</v>
      </c>
      <c r="G218" s="4" t="s">
        <v>77</v>
      </c>
      <c r="H218" s="4" t="s">
        <v>78</v>
      </c>
      <c r="I218" s="4"/>
      <c r="J218" s="4"/>
      <c r="K218" s="4">
        <v>217</v>
      </c>
      <c r="L218" s="4">
        <v>18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230</v>
      </c>
      <c r="F219" s="4">
        <f>ROUND(Source!BA199,O219)</f>
        <v>0</v>
      </c>
      <c r="G219" s="4" t="s">
        <v>79</v>
      </c>
      <c r="H219" s="4" t="s">
        <v>80</v>
      </c>
      <c r="I219" s="4"/>
      <c r="J219" s="4"/>
      <c r="K219" s="4">
        <v>230</v>
      </c>
      <c r="L219" s="4">
        <v>19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206</v>
      </c>
      <c r="F220" s="4">
        <f>ROUND(Source!T199,O220)</f>
        <v>0</v>
      </c>
      <c r="G220" s="4" t="s">
        <v>81</v>
      </c>
      <c r="H220" s="4" t="s">
        <v>82</v>
      </c>
      <c r="I220" s="4"/>
      <c r="J220" s="4"/>
      <c r="K220" s="4">
        <v>206</v>
      </c>
      <c r="L220" s="4">
        <v>20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207</v>
      </c>
      <c r="F221" s="4">
        <f>Source!U199</f>
        <v>0</v>
      </c>
      <c r="G221" s="4" t="s">
        <v>83</v>
      </c>
      <c r="H221" s="4" t="s">
        <v>84</v>
      </c>
      <c r="I221" s="4"/>
      <c r="J221" s="4"/>
      <c r="K221" s="4">
        <v>207</v>
      </c>
      <c r="L221" s="4">
        <v>21</v>
      </c>
      <c r="M221" s="4">
        <v>3</v>
      </c>
      <c r="N221" s="4" t="s">
        <v>3</v>
      </c>
      <c r="O221" s="4">
        <v>-1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208</v>
      </c>
      <c r="F222" s="4">
        <f>Source!V199</f>
        <v>0</v>
      </c>
      <c r="G222" s="4" t="s">
        <v>85</v>
      </c>
      <c r="H222" s="4" t="s">
        <v>86</v>
      </c>
      <c r="I222" s="4"/>
      <c r="J222" s="4"/>
      <c r="K222" s="4">
        <v>208</v>
      </c>
      <c r="L222" s="4">
        <v>22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209</v>
      </c>
      <c r="F223" s="4">
        <f>ROUND(Source!W199,O223)</f>
        <v>0</v>
      </c>
      <c r="G223" s="4" t="s">
        <v>87</v>
      </c>
      <c r="H223" s="4" t="s">
        <v>88</v>
      </c>
      <c r="I223" s="4"/>
      <c r="J223" s="4"/>
      <c r="K223" s="4">
        <v>209</v>
      </c>
      <c r="L223" s="4">
        <v>23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233</v>
      </c>
      <c r="F224" s="4">
        <f>ROUND(Source!BD199,O224)</f>
        <v>0</v>
      </c>
      <c r="G224" s="4" t="s">
        <v>89</v>
      </c>
      <c r="H224" s="4" t="s">
        <v>90</v>
      </c>
      <c r="I224" s="4"/>
      <c r="J224" s="4"/>
      <c r="K224" s="4">
        <v>233</v>
      </c>
      <c r="L224" s="4">
        <v>24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210</v>
      </c>
      <c r="F225" s="4">
        <f>ROUND(Source!X199,O225)</f>
        <v>0</v>
      </c>
      <c r="G225" s="4" t="s">
        <v>91</v>
      </c>
      <c r="H225" s="4" t="s">
        <v>92</v>
      </c>
      <c r="I225" s="4"/>
      <c r="J225" s="4"/>
      <c r="K225" s="4">
        <v>210</v>
      </c>
      <c r="L225" s="4">
        <v>25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45" x14ac:dyDescent="0.2">
      <c r="A226" s="4">
        <v>50</v>
      </c>
      <c r="B226" s="4">
        <v>0</v>
      </c>
      <c r="C226" s="4">
        <v>0</v>
      </c>
      <c r="D226" s="4">
        <v>1</v>
      </c>
      <c r="E226" s="4">
        <v>211</v>
      </c>
      <c r="F226" s="4">
        <f>ROUND(Source!Y199,O226)</f>
        <v>0</v>
      </c>
      <c r="G226" s="4" t="s">
        <v>93</v>
      </c>
      <c r="H226" s="4" t="s">
        <v>94</v>
      </c>
      <c r="I226" s="4"/>
      <c r="J226" s="4"/>
      <c r="K226" s="4">
        <v>211</v>
      </c>
      <c r="L226" s="4">
        <v>26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45" x14ac:dyDescent="0.2">
      <c r="A227" s="4">
        <v>50</v>
      </c>
      <c r="B227" s="4">
        <v>0</v>
      </c>
      <c r="C227" s="4">
        <v>0</v>
      </c>
      <c r="D227" s="4">
        <v>1</v>
      </c>
      <c r="E227" s="4">
        <v>224</v>
      </c>
      <c r="F227" s="4">
        <f>ROUND(Source!AR199,O227)</f>
        <v>0</v>
      </c>
      <c r="G227" s="4" t="s">
        <v>95</v>
      </c>
      <c r="H227" s="4" t="s">
        <v>96</v>
      </c>
      <c r="I227" s="4"/>
      <c r="J227" s="4"/>
      <c r="K227" s="4">
        <v>224</v>
      </c>
      <c r="L227" s="4">
        <v>27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9" spans="1:245" x14ac:dyDescent="0.2">
      <c r="A229" s="1">
        <v>5</v>
      </c>
      <c r="B229" s="1">
        <v>0</v>
      </c>
      <c r="C229" s="1"/>
      <c r="D229" s="1">
        <f>ROW(A235)</f>
        <v>235</v>
      </c>
      <c r="E229" s="1"/>
      <c r="F229" s="1" t="s">
        <v>14</v>
      </c>
      <c r="G229" s="1" t="s">
        <v>147</v>
      </c>
      <c r="H229" s="1" t="s">
        <v>3</v>
      </c>
      <c r="I229" s="1">
        <v>0</v>
      </c>
      <c r="J229" s="1"/>
      <c r="K229" s="1">
        <v>-1</v>
      </c>
      <c r="L229" s="1"/>
      <c r="M229" s="1" t="s">
        <v>3</v>
      </c>
      <c r="N229" s="1"/>
      <c r="O229" s="1"/>
      <c r="P229" s="1"/>
      <c r="Q229" s="1"/>
      <c r="R229" s="1"/>
      <c r="S229" s="1">
        <v>0</v>
      </c>
      <c r="T229" s="1"/>
      <c r="U229" s="1" t="s">
        <v>3</v>
      </c>
      <c r="V229" s="1">
        <v>0</v>
      </c>
      <c r="W229" s="1"/>
      <c r="X229" s="1"/>
      <c r="Y229" s="1"/>
      <c r="Z229" s="1"/>
      <c r="AA229" s="1"/>
      <c r="AB229" s="1" t="s">
        <v>3</v>
      </c>
      <c r="AC229" s="1" t="s">
        <v>3</v>
      </c>
      <c r="AD229" s="1" t="s">
        <v>3</v>
      </c>
      <c r="AE229" s="1" t="s">
        <v>3</v>
      </c>
      <c r="AF229" s="1" t="s">
        <v>3</v>
      </c>
      <c r="AG229" s="1" t="s">
        <v>3</v>
      </c>
      <c r="AH229" s="1"/>
      <c r="AI229" s="1"/>
      <c r="AJ229" s="1"/>
      <c r="AK229" s="1"/>
      <c r="AL229" s="1"/>
      <c r="AM229" s="1"/>
      <c r="AN229" s="1"/>
      <c r="AO229" s="1"/>
      <c r="AP229" s="1" t="s">
        <v>3</v>
      </c>
      <c r="AQ229" s="1" t="s">
        <v>3</v>
      </c>
      <c r="AR229" s="1" t="s">
        <v>3</v>
      </c>
      <c r="AS229" s="1"/>
      <c r="AT229" s="1"/>
      <c r="AU229" s="1"/>
      <c r="AV229" s="1"/>
      <c r="AW229" s="1"/>
      <c r="AX229" s="1"/>
      <c r="AY229" s="1"/>
      <c r="AZ229" s="1" t="s">
        <v>3</v>
      </c>
      <c r="BA229" s="1"/>
      <c r="BB229" s="1" t="s">
        <v>3</v>
      </c>
      <c r="BC229" s="1" t="s">
        <v>3</v>
      </c>
      <c r="BD229" s="1" t="s">
        <v>3</v>
      </c>
      <c r="BE229" s="1" t="s">
        <v>3</v>
      </c>
      <c r="BF229" s="1" t="s">
        <v>3</v>
      </c>
      <c r="BG229" s="1" t="s">
        <v>3</v>
      </c>
      <c r="BH229" s="1" t="s">
        <v>3</v>
      </c>
      <c r="BI229" s="1" t="s">
        <v>3</v>
      </c>
      <c r="BJ229" s="1" t="s">
        <v>3</v>
      </c>
      <c r="BK229" s="1" t="s">
        <v>3</v>
      </c>
      <c r="BL229" s="1" t="s">
        <v>3</v>
      </c>
      <c r="BM229" s="1" t="s">
        <v>3</v>
      </c>
      <c r="BN229" s="1" t="s">
        <v>3</v>
      </c>
      <c r="BO229" s="1" t="s">
        <v>3</v>
      </c>
      <c r="BP229" s="1" t="s">
        <v>3</v>
      </c>
      <c r="BQ229" s="1"/>
      <c r="BR229" s="1"/>
      <c r="BS229" s="1"/>
      <c r="BT229" s="1"/>
      <c r="BU229" s="1"/>
      <c r="BV229" s="1"/>
      <c r="BW229" s="1"/>
      <c r="BX229" s="1">
        <v>0</v>
      </c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>
        <v>0</v>
      </c>
    </row>
    <row r="231" spans="1:245" x14ac:dyDescent="0.2">
      <c r="A231" s="2">
        <v>52</v>
      </c>
      <c r="B231" s="2">
        <f t="shared" ref="B231:G231" si="142">B235</f>
        <v>0</v>
      </c>
      <c r="C231" s="2">
        <f t="shared" si="142"/>
        <v>5</v>
      </c>
      <c r="D231" s="2">
        <f t="shared" si="142"/>
        <v>229</v>
      </c>
      <c r="E231" s="2">
        <f t="shared" si="142"/>
        <v>0</v>
      </c>
      <c r="F231" s="2" t="str">
        <f t="shared" si="142"/>
        <v>Новый подраздел</v>
      </c>
      <c r="G231" s="2" t="str">
        <f t="shared" si="142"/>
        <v>Система кольцевого дренажа</v>
      </c>
      <c r="H231" s="2"/>
      <c r="I231" s="2"/>
      <c r="J231" s="2"/>
      <c r="K231" s="2"/>
      <c r="L231" s="2"/>
      <c r="M231" s="2"/>
      <c r="N231" s="2"/>
      <c r="O231" s="2">
        <f t="shared" ref="O231:AT231" si="143">O235</f>
        <v>0</v>
      </c>
      <c r="P231" s="2">
        <f t="shared" si="143"/>
        <v>0</v>
      </c>
      <c r="Q231" s="2">
        <f t="shared" si="143"/>
        <v>0</v>
      </c>
      <c r="R231" s="2">
        <f t="shared" si="143"/>
        <v>0</v>
      </c>
      <c r="S231" s="2">
        <f t="shared" si="143"/>
        <v>0</v>
      </c>
      <c r="T231" s="2">
        <f t="shared" si="143"/>
        <v>0</v>
      </c>
      <c r="U231" s="2">
        <f t="shared" si="143"/>
        <v>0</v>
      </c>
      <c r="V231" s="2">
        <f t="shared" si="143"/>
        <v>0</v>
      </c>
      <c r="W231" s="2">
        <f t="shared" si="143"/>
        <v>0</v>
      </c>
      <c r="X231" s="2">
        <f t="shared" si="143"/>
        <v>0</v>
      </c>
      <c r="Y231" s="2">
        <f t="shared" si="143"/>
        <v>0</v>
      </c>
      <c r="Z231" s="2">
        <f t="shared" si="143"/>
        <v>0</v>
      </c>
      <c r="AA231" s="2">
        <f t="shared" si="143"/>
        <v>0</v>
      </c>
      <c r="AB231" s="2">
        <f t="shared" si="143"/>
        <v>0</v>
      </c>
      <c r="AC231" s="2">
        <f t="shared" si="143"/>
        <v>0</v>
      </c>
      <c r="AD231" s="2">
        <f t="shared" si="143"/>
        <v>0</v>
      </c>
      <c r="AE231" s="2">
        <f t="shared" si="143"/>
        <v>0</v>
      </c>
      <c r="AF231" s="2">
        <f t="shared" si="143"/>
        <v>0</v>
      </c>
      <c r="AG231" s="2">
        <f t="shared" si="143"/>
        <v>0</v>
      </c>
      <c r="AH231" s="2">
        <f t="shared" si="143"/>
        <v>0</v>
      </c>
      <c r="AI231" s="2">
        <f t="shared" si="143"/>
        <v>0</v>
      </c>
      <c r="AJ231" s="2">
        <f t="shared" si="143"/>
        <v>0</v>
      </c>
      <c r="AK231" s="2">
        <f t="shared" si="143"/>
        <v>0</v>
      </c>
      <c r="AL231" s="2">
        <f t="shared" si="143"/>
        <v>0</v>
      </c>
      <c r="AM231" s="2">
        <f t="shared" si="143"/>
        <v>0</v>
      </c>
      <c r="AN231" s="2">
        <f t="shared" si="143"/>
        <v>0</v>
      </c>
      <c r="AO231" s="2">
        <f t="shared" si="143"/>
        <v>0</v>
      </c>
      <c r="AP231" s="2">
        <f t="shared" si="143"/>
        <v>0</v>
      </c>
      <c r="AQ231" s="2">
        <f t="shared" si="143"/>
        <v>0</v>
      </c>
      <c r="AR231" s="2">
        <f t="shared" si="143"/>
        <v>0</v>
      </c>
      <c r="AS231" s="2">
        <f t="shared" si="143"/>
        <v>0</v>
      </c>
      <c r="AT231" s="2">
        <f t="shared" si="143"/>
        <v>0</v>
      </c>
      <c r="AU231" s="2">
        <f t="shared" ref="AU231:BZ231" si="144">AU235</f>
        <v>0</v>
      </c>
      <c r="AV231" s="2">
        <f t="shared" si="144"/>
        <v>0</v>
      </c>
      <c r="AW231" s="2">
        <f t="shared" si="144"/>
        <v>0</v>
      </c>
      <c r="AX231" s="2">
        <f t="shared" si="144"/>
        <v>0</v>
      </c>
      <c r="AY231" s="2">
        <f t="shared" si="144"/>
        <v>0</v>
      </c>
      <c r="AZ231" s="2">
        <f t="shared" si="144"/>
        <v>0</v>
      </c>
      <c r="BA231" s="2">
        <f t="shared" si="144"/>
        <v>0</v>
      </c>
      <c r="BB231" s="2">
        <f t="shared" si="144"/>
        <v>0</v>
      </c>
      <c r="BC231" s="2">
        <f t="shared" si="144"/>
        <v>0</v>
      </c>
      <c r="BD231" s="2">
        <f t="shared" si="144"/>
        <v>0</v>
      </c>
      <c r="BE231" s="2">
        <f t="shared" si="144"/>
        <v>0</v>
      </c>
      <c r="BF231" s="2">
        <f t="shared" si="144"/>
        <v>0</v>
      </c>
      <c r="BG231" s="2">
        <f t="shared" si="144"/>
        <v>0</v>
      </c>
      <c r="BH231" s="2">
        <f t="shared" si="144"/>
        <v>0</v>
      </c>
      <c r="BI231" s="2">
        <f t="shared" si="144"/>
        <v>0</v>
      </c>
      <c r="BJ231" s="2">
        <f t="shared" si="144"/>
        <v>0</v>
      </c>
      <c r="BK231" s="2">
        <f t="shared" si="144"/>
        <v>0</v>
      </c>
      <c r="BL231" s="2">
        <f t="shared" si="144"/>
        <v>0</v>
      </c>
      <c r="BM231" s="2">
        <f t="shared" si="144"/>
        <v>0</v>
      </c>
      <c r="BN231" s="2">
        <f t="shared" si="144"/>
        <v>0</v>
      </c>
      <c r="BO231" s="2">
        <f t="shared" si="144"/>
        <v>0</v>
      </c>
      <c r="BP231" s="2">
        <f t="shared" si="144"/>
        <v>0</v>
      </c>
      <c r="BQ231" s="2">
        <f t="shared" si="144"/>
        <v>0</v>
      </c>
      <c r="BR231" s="2">
        <f t="shared" si="144"/>
        <v>0</v>
      </c>
      <c r="BS231" s="2">
        <f t="shared" si="144"/>
        <v>0</v>
      </c>
      <c r="BT231" s="2">
        <f t="shared" si="144"/>
        <v>0</v>
      </c>
      <c r="BU231" s="2">
        <f t="shared" si="144"/>
        <v>0</v>
      </c>
      <c r="BV231" s="2">
        <f t="shared" si="144"/>
        <v>0</v>
      </c>
      <c r="BW231" s="2">
        <f t="shared" si="144"/>
        <v>0</v>
      </c>
      <c r="BX231" s="2">
        <f t="shared" si="144"/>
        <v>0</v>
      </c>
      <c r="BY231" s="2">
        <f t="shared" si="144"/>
        <v>0</v>
      </c>
      <c r="BZ231" s="2">
        <f t="shared" si="144"/>
        <v>0</v>
      </c>
      <c r="CA231" s="2">
        <f t="shared" ref="CA231:DF231" si="145">CA235</f>
        <v>0</v>
      </c>
      <c r="CB231" s="2">
        <f t="shared" si="145"/>
        <v>0</v>
      </c>
      <c r="CC231" s="2">
        <f t="shared" si="145"/>
        <v>0</v>
      </c>
      <c r="CD231" s="2">
        <f t="shared" si="145"/>
        <v>0</v>
      </c>
      <c r="CE231" s="2">
        <f t="shared" si="145"/>
        <v>0</v>
      </c>
      <c r="CF231" s="2">
        <f t="shared" si="145"/>
        <v>0</v>
      </c>
      <c r="CG231" s="2">
        <f t="shared" si="145"/>
        <v>0</v>
      </c>
      <c r="CH231" s="2">
        <f t="shared" si="145"/>
        <v>0</v>
      </c>
      <c r="CI231" s="2">
        <f t="shared" si="145"/>
        <v>0</v>
      </c>
      <c r="CJ231" s="2">
        <f t="shared" si="145"/>
        <v>0</v>
      </c>
      <c r="CK231" s="2">
        <f t="shared" si="145"/>
        <v>0</v>
      </c>
      <c r="CL231" s="2">
        <f t="shared" si="145"/>
        <v>0</v>
      </c>
      <c r="CM231" s="2">
        <f t="shared" si="145"/>
        <v>0</v>
      </c>
      <c r="CN231" s="2">
        <f t="shared" si="145"/>
        <v>0</v>
      </c>
      <c r="CO231" s="2">
        <f t="shared" si="145"/>
        <v>0</v>
      </c>
      <c r="CP231" s="2">
        <f t="shared" si="145"/>
        <v>0</v>
      </c>
      <c r="CQ231" s="2">
        <f t="shared" si="145"/>
        <v>0</v>
      </c>
      <c r="CR231" s="2">
        <f t="shared" si="145"/>
        <v>0</v>
      </c>
      <c r="CS231" s="2">
        <f t="shared" si="145"/>
        <v>0</v>
      </c>
      <c r="CT231" s="2">
        <f t="shared" si="145"/>
        <v>0</v>
      </c>
      <c r="CU231" s="2">
        <f t="shared" si="145"/>
        <v>0</v>
      </c>
      <c r="CV231" s="2">
        <f t="shared" si="145"/>
        <v>0</v>
      </c>
      <c r="CW231" s="2">
        <f t="shared" si="145"/>
        <v>0</v>
      </c>
      <c r="CX231" s="2">
        <f t="shared" si="145"/>
        <v>0</v>
      </c>
      <c r="CY231" s="2">
        <f t="shared" si="145"/>
        <v>0</v>
      </c>
      <c r="CZ231" s="2">
        <f t="shared" si="145"/>
        <v>0</v>
      </c>
      <c r="DA231" s="2">
        <f t="shared" si="145"/>
        <v>0</v>
      </c>
      <c r="DB231" s="2">
        <f t="shared" si="145"/>
        <v>0</v>
      </c>
      <c r="DC231" s="2">
        <f t="shared" si="145"/>
        <v>0</v>
      </c>
      <c r="DD231" s="2">
        <f t="shared" si="145"/>
        <v>0</v>
      </c>
      <c r="DE231" s="2">
        <f t="shared" si="145"/>
        <v>0</v>
      </c>
      <c r="DF231" s="2">
        <f t="shared" si="145"/>
        <v>0</v>
      </c>
      <c r="DG231" s="3">
        <f t="shared" ref="DG231:EL231" si="146">DG235</f>
        <v>0</v>
      </c>
      <c r="DH231" s="3">
        <f t="shared" si="146"/>
        <v>0</v>
      </c>
      <c r="DI231" s="3">
        <f t="shared" si="146"/>
        <v>0</v>
      </c>
      <c r="DJ231" s="3">
        <f t="shared" si="146"/>
        <v>0</v>
      </c>
      <c r="DK231" s="3">
        <f t="shared" si="146"/>
        <v>0</v>
      </c>
      <c r="DL231" s="3">
        <f t="shared" si="146"/>
        <v>0</v>
      </c>
      <c r="DM231" s="3">
        <f t="shared" si="146"/>
        <v>0</v>
      </c>
      <c r="DN231" s="3">
        <f t="shared" si="146"/>
        <v>0</v>
      </c>
      <c r="DO231" s="3">
        <f t="shared" si="146"/>
        <v>0</v>
      </c>
      <c r="DP231" s="3">
        <f t="shared" si="146"/>
        <v>0</v>
      </c>
      <c r="DQ231" s="3">
        <f t="shared" si="146"/>
        <v>0</v>
      </c>
      <c r="DR231" s="3">
        <f t="shared" si="146"/>
        <v>0</v>
      </c>
      <c r="DS231" s="3">
        <f t="shared" si="146"/>
        <v>0</v>
      </c>
      <c r="DT231" s="3">
        <f t="shared" si="146"/>
        <v>0</v>
      </c>
      <c r="DU231" s="3">
        <f t="shared" si="146"/>
        <v>0</v>
      </c>
      <c r="DV231" s="3">
        <f t="shared" si="146"/>
        <v>0</v>
      </c>
      <c r="DW231" s="3">
        <f t="shared" si="146"/>
        <v>0</v>
      </c>
      <c r="DX231" s="3">
        <f t="shared" si="146"/>
        <v>0</v>
      </c>
      <c r="DY231" s="3">
        <f t="shared" si="146"/>
        <v>0</v>
      </c>
      <c r="DZ231" s="3">
        <f t="shared" si="146"/>
        <v>0</v>
      </c>
      <c r="EA231" s="3">
        <f t="shared" si="146"/>
        <v>0</v>
      </c>
      <c r="EB231" s="3">
        <f t="shared" si="146"/>
        <v>0</v>
      </c>
      <c r="EC231" s="3">
        <f t="shared" si="146"/>
        <v>0</v>
      </c>
      <c r="ED231" s="3">
        <f t="shared" si="146"/>
        <v>0</v>
      </c>
      <c r="EE231" s="3">
        <f t="shared" si="146"/>
        <v>0</v>
      </c>
      <c r="EF231" s="3">
        <f t="shared" si="146"/>
        <v>0</v>
      </c>
      <c r="EG231" s="3">
        <f t="shared" si="146"/>
        <v>0</v>
      </c>
      <c r="EH231" s="3">
        <f t="shared" si="146"/>
        <v>0</v>
      </c>
      <c r="EI231" s="3">
        <f t="shared" si="146"/>
        <v>0</v>
      </c>
      <c r="EJ231" s="3">
        <f t="shared" si="146"/>
        <v>0</v>
      </c>
      <c r="EK231" s="3">
        <f t="shared" si="146"/>
        <v>0</v>
      </c>
      <c r="EL231" s="3">
        <f t="shared" si="146"/>
        <v>0</v>
      </c>
      <c r="EM231" s="3">
        <f t="shared" ref="EM231:FR231" si="147">EM235</f>
        <v>0</v>
      </c>
      <c r="EN231" s="3">
        <f t="shared" si="147"/>
        <v>0</v>
      </c>
      <c r="EO231" s="3">
        <f t="shared" si="147"/>
        <v>0</v>
      </c>
      <c r="EP231" s="3">
        <f t="shared" si="147"/>
        <v>0</v>
      </c>
      <c r="EQ231" s="3">
        <f t="shared" si="147"/>
        <v>0</v>
      </c>
      <c r="ER231" s="3">
        <f t="shared" si="147"/>
        <v>0</v>
      </c>
      <c r="ES231" s="3">
        <f t="shared" si="147"/>
        <v>0</v>
      </c>
      <c r="ET231" s="3">
        <f t="shared" si="147"/>
        <v>0</v>
      </c>
      <c r="EU231" s="3">
        <f t="shared" si="147"/>
        <v>0</v>
      </c>
      <c r="EV231" s="3">
        <f t="shared" si="147"/>
        <v>0</v>
      </c>
      <c r="EW231" s="3">
        <f t="shared" si="147"/>
        <v>0</v>
      </c>
      <c r="EX231" s="3">
        <f t="shared" si="147"/>
        <v>0</v>
      </c>
      <c r="EY231" s="3">
        <f t="shared" si="147"/>
        <v>0</v>
      </c>
      <c r="EZ231" s="3">
        <f t="shared" si="147"/>
        <v>0</v>
      </c>
      <c r="FA231" s="3">
        <f t="shared" si="147"/>
        <v>0</v>
      </c>
      <c r="FB231" s="3">
        <f t="shared" si="147"/>
        <v>0</v>
      </c>
      <c r="FC231" s="3">
        <f t="shared" si="147"/>
        <v>0</v>
      </c>
      <c r="FD231" s="3">
        <f t="shared" si="147"/>
        <v>0</v>
      </c>
      <c r="FE231" s="3">
        <f t="shared" si="147"/>
        <v>0</v>
      </c>
      <c r="FF231" s="3">
        <f t="shared" si="147"/>
        <v>0</v>
      </c>
      <c r="FG231" s="3">
        <f t="shared" si="147"/>
        <v>0</v>
      </c>
      <c r="FH231" s="3">
        <f t="shared" si="147"/>
        <v>0</v>
      </c>
      <c r="FI231" s="3">
        <f t="shared" si="147"/>
        <v>0</v>
      </c>
      <c r="FJ231" s="3">
        <f t="shared" si="147"/>
        <v>0</v>
      </c>
      <c r="FK231" s="3">
        <f t="shared" si="147"/>
        <v>0</v>
      </c>
      <c r="FL231" s="3">
        <f t="shared" si="147"/>
        <v>0</v>
      </c>
      <c r="FM231" s="3">
        <f t="shared" si="147"/>
        <v>0</v>
      </c>
      <c r="FN231" s="3">
        <f t="shared" si="147"/>
        <v>0</v>
      </c>
      <c r="FO231" s="3">
        <f t="shared" si="147"/>
        <v>0</v>
      </c>
      <c r="FP231" s="3">
        <f t="shared" si="147"/>
        <v>0</v>
      </c>
      <c r="FQ231" s="3">
        <f t="shared" si="147"/>
        <v>0</v>
      </c>
      <c r="FR231" s="3">
        <f t="shared" si="147"/>
        <v>0</v>
      </c>
      <c r="FS231" s="3">
        <f t="shared" ref="FS231:GX231" si="148">FS235</f>
        <v>0</v>
      </c>
      <c r="FT231" s="3">
        <f t="shared" si="148"/>
        <v>0</v>
      </c>
      <c r="FU231" s="3">
        <f t="shared" si="148"/>
        <v>0</v>
      </c>
      <c r="FV231" s="3">
        <f t="shared" si="148"/>
        <v>0</v>
      </c>
      <c r="FW231" s="3">
        <f t="shared" si="148"/>
        <v>0</v>
      </c>
      <c r="FX231" s="3">
        <f t="shared" si="148"/>
        <v>0</v>
      </c>
      <c r="FY231" s="3">
        <f t="shared" si="148"/>
        <v>0</v>
      </c>
      <c r="FZ231" s="3">
        <f t="shared" si="148"/>
        <v>0</v>
      </c>
      <c r="GA231" s="3">
        <f t="shared" si="148"/>
        <v>0</v>
      </c>
      <c r="GB231" s="3">
        <f t="shared" si="148"/>
        <v>0</v>
      </c>
      <c r="GC231" s="3">
        <f t="shared" si="148"/>
        <v>0</v>
      </c>
      <c r="GD231" s="3">
        <f t="shared" si="148"/>
        <v>0</v>
      </c>
      <c r="GE231" s="3">
        <f t="shared" si="148"/>
        <v>0</v>
      </c>
      <c r="GF231" s="3">
        <f t="shared" si="148"/>
        <v>0</v>
      </c>
      <c r="GG231" s="3">
        <f t="shared" si="148"/>
        <v>0</v>
      </c>
      <c r="GH231" s="3">
        <f t="shared" si="148"/>
        <v>0</v>
      </c>
      <c r="GI231" s="3">
        <f t="shared" si="148"/>
        <v>0</v>
      </c>
      <c r="GJ231" s="3">
        <f t="shared" si="148"/>
        <v>0</v>
      </c>
      <c r="GK231" s="3">
        <f t="shared" si="148"/>
        <v>0</v>
      </c>
      <c r="GL231" s="3">
        <f t="shared" si="148"/>
        <v>0</v>
      </c>
      <c r="GM231" s="3">
        <f t="shared" si="148"/>
        <v>0</v>
      </c>
      <c r="GN231" s="3">
        <f t="shared" si="148"/>
        <v>0</v>
      </c>
      <c r="GO231" s="3">
        <f t="shared" si="148"/>
        <v>0</v>
      </c>
      <c r="GP231" s="3">
        <f t="shared" si="148"/>
        <v>0</v>
      </c>
      <c r="GQ231" s="3">
        <f t="shared" si="148"/>
        <v>0</v>
      </c>
      <c r="GR231" s="3">
        <f t="shared" si="148"/>
        <v>0</v>
      </c>
      <c r="GS231" s="3">
        <f t="shared" si="148"/>
        <v>0</v>
      </c>
      <c r="GT231" s="3">
        <f t="shared" si="148"/>
        <v>0</v>
      </c>
      <c r="GU231" s="3">
        <f t="shared" si="148"/>
        <v>0</v>
      </c>
      <c r="GV231" s="3">
        <f t="shared" si="148"/>
        <v>0</v>
      </c>
      <c r="GW231" s="3">
        <f t="shared" si="148"/>
        <v>0</v>
      </c>
      <c r="GX231" s="3">
        <f t="shared" si="148"/>
        <v>0</v>
      </c>
    </row>
    <row r="233" spans="1:245" x14ac:dyDescent="0.2">
      <c r="A233">
        <v>17</v>
      </c>
      <c r="B233">
        <v>0</v>
      </c>
      <c r="C233">
        <f>ROW(SmtRes!A10)</f>
        <v>10</v>
      </c>
      <c r="D233">
        <f>ROW(EtalonRes!A46)</f>
        <v>46</v>
      </c>
      <c r="E233" t="s">
        <v>3</v>
      </c>
      <c r="F233" t="s">
        <v>148</v>
      </c>
      <c r="G233" t="s">
        <v>149</v>
      </c>
      <c r="H233" t="s">
        <v>26</v>
      </c>
      <c r="I233">
        <f>ROUND((305+6.3)*0.1/100,9)</f>
        <v>0.31130000000000002</v>
      </c>
      <c r="J233">
        <v>0</v>
      </c>
      <c r="K233">
        <f>ROUND((305+6.3)*0.1/100,9)</f>
        <v>0.31130000000000002</v>
      </c>
      <c r="O233">
        <f>ROUND(CP233,2)</f>
        <v>546.01</v>
      </c>
      <c r="P233">
        <f>ROUND(CQ233*I233,2)</f>
        <v>0</v>
      </c>
      <c r="Q233">
        <f>ROUND(CR233*I233,2)</f>
        <v>0</v>
      </c>
      <c r="R233">
        <f>ROUND(CS233*I233,2)</f>
        <v>0</v>
      </c>
      <c r="S233">
        <f>ROUND(CT233*I233,2)</f>
        <v>546.01</v>
      </c>
      <c r="T233">
        <f>ROUND(CU233*I233,2)</f>
        <v>0</v>
      </c>
      <c r="U233">
        <f>CV233*I233</f>
        <v>0.97125600000000012</v>
      </c>
      <c r="V233">
        <f>CW233*I233</f>
        <v>0</v>
      </c>
      <c r="W233">
        <f>ROUND(CX233*I233,2)</f>
        <v>0</v>
      </c>
      <c r="X233">
        <f>ROUND(CY233,2)</f>
        <v>382.21</v>
      </c>
      <c r="Y233">
        <f>ROUND(CZ233,2)</f>
        <v>54.6</v>
      </c>
      <c r="AA233">
        <v>-1</v>
      </c>
      <c r="AB233">
        <f>ROUND((AC233+AD233+AF233),6)</f>
        <v>1753.96</v>
      </c>
      <c r="AC233">
        <f>ROUND(((ES233*4)),6)</f>
        <v>0</v>
      </c>
      <c r="AD233">
        <f>ROUND(((((ET233*4))-((EU233*4)))+AE233),6)</f>
        <v>0</v>
      </c>
      <c r="AE233">
        <f>ROUND(((EU233*4)),6)</f>
        <v>0</v>
      </c>
      <c r="AF233">
        <f>ROUND(((EV233*4)),6)</f>
        <v>1753.96</v>
      </c>
      <c r="AG233">
        <f>ROUND((AP233),6)</f>
        <v>0</v>
      </c>
      <c r="AH233">
        <f>((EW233*4))</f>
        <v>3.12</v>
      </c>
      <c r="AI233">
        <f>((EX233*4))</f>
        <v>0</v>
      </c>
      <c r="AJ233">
        <f>(AS233)</f>
        <v>0</v>
      </c>
      <c r="AK233">
        <v>438.49</v>
      </c>
      <c r="AL233">
        <v>0</v>
      </c>
      <c r="AM233">
        <v>0</v>
      </c>
      <c r="AN233">
        <v>0</v>
      </c>
      <c r="AO233">
        <v>438.49</v>
      </c>
      <c r="AP233">
        <v>0</v>
      </c>
      <c r="AQ233">
        <v>0.78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150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>(P233+Q233+S233)</f>
        <v>546.01</v>
      </c>
      <c r="CQ233">
        <f>(AC233*BC233*AW233)</f>
        <v>0</v>
      </c>
      <c r="CR233">
        <f>(((((ET233*4))*BB233-((EU233*4))*BS233)+AE233*BS233)*AV233)</f>
        <v>0</v>
      </c>
      <c r="CS233">
        <f>(AE233*BS233*AV233)</f>
        <v>0</v>
      </c>
      <c r="CT233">
        <f>(AF233*BA233*AV233)</f>
        <v>1753.96</v>
      </c>
      <c r="CU233">
        <f>AG233</f>
        <v>0</v>
      </c>
      <c r="CV233">
        <f>(AH233*AV233)</f>
        <v>3.12</v>
      </c>
      <c r="CW233">
        <f>AI233</f>
        <v>0</v>
      </c>
      <c r="CX233">
        <f>AJ233</f>
        <v>0</v>
      </c>
      <c r="CY233">
        <f>((S233*BZ233)/100)</f>
        <v>382.20699999999999</v>
      </c>
      <c r="CZ233">
        <f>((S233*CA233)/100)</f>
        <v>54.601000000000006</v>
      </c>
      <c r="DC233" t="s">
        <v>3</v>
      </c>
      <c r="DD233" t="s">
        <v>28</v>
      </c>
      <c r="DE233" t="s">
        <v>28</v>
      </c>
      <c r="DF233" t="s">
        <v>28</v>
      </c>
      <c r="DG233" t="s">
        <v>28</v>
      </c>
      <c r="DH233" t="s">
        <v>3</v>
      </c>
      <c r="DI233" t="s">
        <v>28</v>
      </c>
      <c r="DJ233" t="s">
        <v>28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1003</v>
      </c>
      <c r="DV233" t="s">
        <v>26</v>
      </c>
      <c r="DW233" t="s">
        <v>26</v>
      </c>
      <c r="DX233">
        <v>100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21</v>
      </c>
      <c r="EH233">
        <v>0</v>
      </c>
      <c r="EI233" t="s">
        <v>3</v>
      </c>
      <c r="EJ233">
        <v>4</v>
      </c>
      <c r="EK233">
        <v>0</v>
      </c>
      <c r="EL233" t="s">
        <v>22</v>
      </c>
      <c r="EM233" t="s">
        <v>23</v>
      </c>
      <c r="EO233" t="s">
        <v>3</v>
      </c>
      <c r="EQ233">
        <v>1024</v>
      </c>
      <c r="ER233">
        <v>438.49</v>
      </c>
      <c r="ES233">
        <v>0</v>
      </c>
      <c r="ET233">
        <v>0</v>
      </c>
      <c r="EU233">
        <v>0</v>
      </c>
      <c r="EV233">
        <v>438.49</v>
      </c>
      <c r="EW233">
        <v>0.78</v>
      </c>
      <c r="EX233">
        <v>0</v>
      </c>
      <c r="EY233">
        <v>0</v>
      </c>
      <c r="FQ233">
        <v>0</v>
      </c>
      <c r="FR233">
        <f>ROUND(IF(BI233=3,GM233,0),2)</f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189766521</v>
      </c>
      <c r="GG233">
        <v>2</v>
      </c>
      <c r="GH233">
        <v>1</v>
      </c>
      <c r="GI233">
        <v>-2</v>
      </c>
      <c r="GJ233">
        <v>0</v>
      </c>
      <c r="GK233">
        <f>ROUND(R233*(R12)/100,2)</f>
        <v>0</v>
      </c>
      <c r="GL233">
        <f>ROUND(IF(AND(BH233=3,BI233=3,FS233&lt;&gt;0),P233,0),2)</f>
        <v>0</v>
      </c>
      <c r="GM233">
        <f>ROUND(O233+X233+Y233+GK233,2)+GX233</f>
        <v>982.82</v>
      </c>
      <c r="GN233">
        <f>IF(OR(BI233=0,BI233=1),GM233-GX233,0)</f>
        <v>0</v>
      </c>
      <c r="GO233">
        <f>IF(BI233=2,GM233-GX233,0)</f>
        <v>0</v>
      </c>
      <c r="GP233">
        <f>IF(BI233=4,GM233-GX233,0)</f>
        <v>982.82</v>
      </c>
      <c r="GR233">
        <v>0</v>
      </c>
      <c r="GS233">
        <v>3</v>
      </c>
      <c r="GT233">
        <v>0</v>
      </c>
      <c r="GU233" t="s">
        <v>3</v>
      </c>
      <c r="GV233">
        <f>ROUND((GT233),6)</f>
        <v>0</v>
      </c>
      <c r="GW233">
        <v>1</v>
      </c>
      <c r="GX233">
        <f>ROUND(HC233*I233,2)</f>
        <v>0</v>
      </c>
      <c r="HA233">
        <v>0</v>
      </c>
      <c r="HB233">
        <v>0</v>
      </c>
      <c r="HC233">
        <f>GV233*GW233</f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5" spans="1:245" x14ac:dyDescent="0.2">
      <c r="A235" s="2">
        <v>51</v>
      </c>
      <c r="B235" s="2">
        <f>B229</f>
        <v>0</v>
      </c>
      <c r="C235" s="2">
        <f>A229</f>
        <v>5</v>
      </c>
      <c r="D235" s="2">
        <f>ROW(A229)</f>
        <v>229</v>
      </c>
      <c r="E235" s="2"/>
      <c r="F235" s="2" t="str">
        <f>IF(F229&lt;&gt;"",F229,"")</f>
        <v>Новый подраздел</v>
      </c>
      <c r="G235" s="2" t="str">
        <f>IF(G229&lt;&gt;"",G229,"")</f>
        <v>Система кольцевого дренажа</v>
      </c>
      <c r="H235" s="2">
        <v>0</v>
      </c>
      <c r="I235" s="2"/>
      <c r="J235" s="2"/>
      <c r="K235" s="2"/>
      <c r="L235" s="2"/>
      <c r="M235" s="2"/>
      <c r="N235" s="2"/>
      <c r="O235" s="2">
        <f t="shared" ref="O235:T235" si="149">ROUND(AB235,2)</f>
        <v>0</v>
      </c>
      <c r="P235" s="2">
        <f t="shared" si="149"/>
        <v>0</v>
      </c>
      <c r="Q235" s="2">
        <f t="shared" si="149"/>
        <v>0</v>
      </c>
      <c r="R235" s="2">
        <f t="shared" si="149"/>
        <v>0</v>
      </c>
      <c r="S235" s="2">
        <f t="shared" si="149"/>
        <v>0</v>
      </c>
      <c r="T235" s="2">
        <f t="shared" si="149"/>
        <v>0</v>
      </c>
      <c r="U235" s="2">
        <f>AH235</f>
        <v>0</v>
      </c>
      <c r="V235" s="2">
        <f>AI235</f>
        <v>0</v>
      </c>
      <c r="W235" s="2">
        <f>ROUND(AJ235,2)</f>
        <v>0</v>
      </c>
      <c r="X235" s="2">
        <f>ROUND(AK235,2)</f>
        <v>0</v>
      </c>
      <c r="Y235" s="2">
        <f>ROUND(AL235,2)</f>
        <v>0</v>
      </c>
      <c r="Z235" s="2"/>
      <c r="AA235" s="2"/>
      <c r="AB235" s="2">
        <f>ROUND(SUMIF(AA233:AA233,"=1473080740",O233:O233),2)</f>
        <v>0</v>
      </c>
      <c r="AC235" s="2">
        <f>ROUND(SUMIF(AA233:AA233,"=1473080740",P233:P233),2)</f>
        <v>0</v>
      </c>
      <c r="AD235" s="2">
        <f>ROUND(SUMIF(AA233:AA233,"=1473080740",Q233:Q233),2)</f>
        <v>0</v>
      </c>
      <c r="AE235" s="2">
        <f>ROUND(SUMIF(AA233:AA233,"=1473080740",R233:R233),2)</f>
        <v>0</v>
      </c>
      <c r="AF235" s="2">
        <f>ROUND(SUMIF(AA233:AA233,"=1473080740",S233:S233),2)</f>
        <v>0</v>
      </c>
      <c r="AG235" s="2">
        <f>ROUND(SUMIF(AA233:AA233,"=1473080740",T233:T233),2)</f>
        <v>0</v>
      </c>
      <c r="AH235" s="2">
        <f>SUMIF(AA233:AA233,"=1473080740",U233:U233)</f>
        <v>0</v>
      </c>
      <c r="AI235" s="2">
        <f>SUMIF(AA233:AA233,"=1473080740",V233:V233)</f>
        <v>0</v>
      </c>
      <c r="AJ235" s="2">
        <f>ROUND(SUMIF(AA233:AA233,"=1473080740",W233:W233),2)</f>
        <v>0</v>
      </c>
      <c r="AK235" s="2">
        <f>ROUND(SUMIF(AA233:AA233,"=1473080740",X233:X233),2)</f>
        <v>0</v>
      </c>
      <c r="AL235" s="2">
        <f>ROUND(SUMIF(AA233:AA233,"=1473080740",Y233:Y233),2)</f>
        <v>0</v>
      </c>
      <c r="AM235" s="2"/>
      <c r="AN235" s="2"/>
      <c r="AO235" s="2">
        <f t="shared" ref="AO235:BD235" si="150">ROUND(BX235,2)</f>
        <v>0</v>
      </c>
      <c r="AP235" s="2">
        <f t="shared" si="150"/>
        <v>0</v>
      </c>
      <c r="AQ235" s="2">
        <f t="shared" si="150"/>
        <v>0</v>
      </c>
      <c r="AR235" s="2">
        <f t="shared" si="150"/>
        <v>0</v>
      </c>
      <c r="AS235" s="2">
        <f t="shared" si="150"/>
        <v>0</v>
      </c>
      <c r="AT235" s="2">
        <f t="shared" si="150"/>
        <v>0</v>
      </c>
      <c r="AU235" s="2">
        <f t="shared" si="150"/>
        <v>0</v>
      </c>
      <c r="AV235" s="2">
        <f t="shared" si="150"/>
        <v>0</v>
      </c>
      <c r="AW235" s="2">
        <f t="shared" si="150"/>
        <v>0</v>
      </c>
      <c r="AX235" s="2">
        <f t="shared" si="150"/>
        <v>0</v>
      </c>
      <c r="AY235" s="2">
        <f t="shared" si="150"/>
        <v>0</v>
      </c>
      <c r="AZ235" s="2">
        <f t="shared" si="150"/>
        <v>0</v>
      </c>
      <c r="BA235" s="2">
        <f t="shared" si="150"/>
        <v>0</v>
      </c>
      <c r="BB235" s="2">
        <f t="shared" si="150"/>
        <v>0</v>
      </c>
      <c r="BC235" s="2">
        <f t="shared" si="150"/>
        <v>0</v>
      </c>
      <c r="BD235" s="2">
        <f t="shared" si="150"/>
        <v>0</v>
      </c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>
        <f>ROUND(SUMIF(AA233:AA233,"=1473080740",FQ233:FQ233),2)</f>
        <v>0</v>
      </c>
      <c r="BY235" s="2">
        <f>ROUND(SUMIF(AA233:AA233,"=1473080740",FR233:FR233),2)</f>
        <v>0</v>
      </c>
      <c r="BZ235" s="2">
        <f>ROUND(SUMIF(AA233:AA233,"=1473080740",GL233:GL233),2)</f>
        <v>0</v>
      </c>
      <c r="CA235" s="2">
        <f>ROUND(SUMIF(AA233:AA233,"=1473080740",GM233:GM233),2)</f>
        <v>0</v>
      </c>
      <c r="CB235" s="2">
        <f>ROUND(SUMIF(AA233:AA233,"=1473080740",GN233:GN233),2)</f>
        <v>0</v>
      </c>
      <c r="CC235" s="2">
        <f>ROUND(SUMIF(AA233:AA233,"=1473080740",GO233:GO233),2)</f>
        <v>0</v>
      </c>
      <c r="CD235" s="2">
        <f>ROUND(SUMIF(AA233:AA233,"=1473080740",GP233:GP233),2)</f>
        <v>0</v>
      </c>
      <c r="CE235" s="2">
        <f>AC235-BX235</f>
        <v>0</v>
      </c>
      <c r="CF235" s="2">
        <f>AC235-BY235</f>
        <v>0</v>
      </c>
      <c r="CG235" s="2">
        <f>BX235-BZ235</f>
        <v>0</v>
      </c>
      <c r="CH235" s="2">
        <f>AC235-BX235-BY235+BZ235</f>
        <v>0</v>
      </c>
      <c r="CI235" s="2">
        <f>BY235-BZ235</f>
        <v>0</v>
      </c>
      <c r="CJ235" s="2">
        <f>ROUND(SUMIF(AA233:AA233,"=1473080740",GX233:GX233),2)</f>
        <v>0</v>
      </c>
      <c r="CK235" s="2">
        <f>ROUND(SUMIF(AA233:AA233,"=1473080740",GY233:GY233),2)</f>
        <v>0</v>
      </c>
      <c r="CL235" s="2">
        <f>ROUND(SUMIF(AA233:AA233,"=1473080740",GZ233:GZ233),2)</f>
        <v>0</v>
      </c>
      <c r="CM235" s="2">
        <f>ROUND(SUMIF(AA233:AA233,"=1473080740",HD233:HD233),2)</f>
        <v>0</v>
      </c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  <c r="GU235" s="3"/>
      <c r="GV235" s="3"/>
      <c r="GW235" s="3"/>
      <c r="GX235" s="3">
        <v>0</v>
      </c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201</v>
      </c>
      <c r="F237" s="4">
        <f>ROUND(Source!O235,O237)</f>
        <v>0</v>
      </c>
      <c r="G237" s="4" t="s">
        <v>43</v>
      </c>
      <c r="H237" s="4" t="s">
        <v>44</v>
      </c>
      <c r="I237" s="4"/>
      <c r="J237" s="4"/>
      <c r="K237" s="4">
        <v>201</v>
      </c>
      <c r="L237" s="4">
        <v>1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202</v>
      </c>
      <c r="F238" s="4">
        <f>ROUND(Source!P235,O238)</f>
        <v>0</v>
      </c>
      <c r="G238" s="4" t="s">
        <v>45</v>
      </c>
      <c r="H238" s="4" t="s">
        <v>46</v>
      </c>
      <c r="I238" s="4"/>
      <c r="J238" s="4"/>
      <c r="K238" s="4">
        <v>202</v>
      </c>
      <c r="L238" s="4">
        <v>2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222</v>
      </c>
      <c r="F239" s="4">
        <f>ROUND(Source!AO235,O239)</f>
        <v>0</v>
      </c>
      <c r="G239" s="4" t="s">
        <v>47</v>
      </c>
      <c r="H239" s="4" t="s">
        <v>48</v>
      </c>
      <c r="I239" s="4"/>
      <c r="J239" s="4"/>
      <c r="K239" s="4">
        <v>222</v>
      </c>
      <c r="L239" s="4">
        <v>3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225</v>
      </c>
      <c r="F240" s="4">
        <f>ROUND(Source!AV235,O240)</f>
        <v>0</v>
      </c>
      <c r="G240" s="4" t="s">
        <v>49</v>
      </c>
      <c r="H240" s="4" t="s">
        <v>50</v>
      </c>
      <c r="I240" s="4"/>
      <c r="J240" s="4"/>
      <c r="K240" s="4">
        <v>225</v>
      </c>
      <c r="L240" s="4">
        <v>4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226</v>
      </c>
      <c r="F241" s="4">
        <f>ROUND(Source!AW235,O241)</f>
        <v>0</v>
      </c>
      <c r="G241" s="4" t="s">
        <v>51</v>
      </c>
      <c r="H241" s="4" t="s">
        <v>52</v>
      </c>
      <c r="I241" s="4"/>
      <c r="J241" s="4"/>
      <c r="K241" s="4">
        <v>226</v>
      </c>
      <c r="L241" s="4">
        <v>5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227</v>
      </c>
      <c r="F242" s="4">
        <f>ROUND(Source!AX235,O242)</f>
        <v>0</v>
      </c>
      <c r="G242" s="4" t="s">
        <v>53</v>
      </c>
      <c r="H242" s="4" t="s">
        <v>54</v>
      </c>
      <c r="I242" s="4"/>
      <c r="J242" s="4"/>
      <c r="K242" s="4">
        <v>227</v>
      </c>
      <c r="L242" s="4">
        <v>6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228</v>
      </c>
      <c r="F243" s="4">
        <f>ROUND(Source!AY235,O243)</f>
        <v>0</v>
      </c>
      <c r="G243" s="4" t="s">
        <v>55</v>
      </c>
      <c r="H243" s="4" t="s">
        <v>56</v>
      </c>
      <c r="I243" s="4"/>
      <c r="J243" s="4"/>
      <c r="K243" s="4">
        <v>228</v>
      </c>
      <c r="L243" s="4">
        <v>7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216</v>
      </c>
      <c r="F244" s="4">
        <f>ROUND(Source!AP235,O244)</f>
        <v>0</v>
      </c>
      <c r="G244" s="4" t="s">
        <v>57</v>
      </c>
      <c r="H244" s="4" t="s">
        <v>58</v>
      </c>
      <c r="I244" s="4"/>
      <c r="J244" s="4"/>
      <c r="K244" s="4">
        <v>216</v>
      </c>
      <c r="L244" s="4">
        <v>8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223</v>
      </c>
      <c r="F245" s="4">
        <f>ROUND(Source!AQ235,O245)</f>
        <v>0</v>
      </c>
      <c r="G245" s="4" t="s">
        <v>59</v>
      </c>
      <c r="H245" s="4" t="s">
        <v>60</v>
      </c>
      <c r="I245" s="4"/>
      <c r="J245" s="4"/>
      <c r="K245" s="4">
        <v>223</v>
      </c>
      <c r="L245" s="4">
        <v>9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229</v>
      </c>
      <c r="F246" s="4">
        <f>ROUND(Source!AZ235,O246)</f>
        <v>0</v>
      </c>
      <c r="G246" s="4" t="s">
        <v>61</v>
      </c>
      <c r="H246" s="4" t="s">
        <v>62</v>
      </c>
      <c r="I246" s="4"/>
      <c r="J246" s="4"/>
      <c r="K246" s="4">
        <v>229</v>
      </c>
      <c r="L246" s="4">
        <v>10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203</v>
      </c>
      <c r="F247" s="4">
        <f>ROUND(Source!Q235,O247)</f>
        <v>0</v>
      </c>
      <c r="G247" s="4" t="s">
        <v>63</v>
      </c>
      <c r="H247" s="4" t="s">
        <v>64</v>
      </c>
      <c r="I247" s="4"/>
      <c r="J247" s="4"/>
      <c r="K247" s="4">
        <v>203</v>
      </c>
      <c r="L247" s="4">
        <v>11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231</v>
      </c>
      <c r="F248" s="4">
        <f>ROUND(Source!BB235,O248)</f>
        <v>0</v>
      </c>
      <c r="G248" s="4" t="s">
        <v>65</v>
      </c>
      <c r="H248" s="4" t="s">
        <v>66</v>
      </c>
      <c r="I248" s="4"/>
      <c r="J248" s="4"/>
      <c r="K248" s="4">
        <v>231</v>
      </c>
      <c r="L248" s="4">
        <v>12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204</v>
      </c>
      <c r="F249" s="4">
        <f>ROUND(Source!R235,O249)</f>
        <v>0</v>
      </c>
      <c r="G249" s="4" t="s">
        <v>67</v>
      </c>
      <c r="H249" s="4" t="s">
        <v>68</v>
      </c>
      <c r="I249" s="4"/>
      <c r="J249" s="4"/>
      <c r="K249" s="4">
        <v>204</v>
      </c>
      <c r="L249" s="4">
        <v>13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205</v>
      </c>
      <c r="F250" s="4">
        <f>ROUND(Source!S235,O250)</f>
        <v>0</v>
      </c>
      <c r="G250" s="4" t="s">
        <v>69</v>
      </c>
      <c r="H250" s="4" t="s">
        <v>70</v>
      </c>
      <c r="I250" s="4"/>
      <c r="J250" s="4"/>
      <c r="K250" s="4">
        <v>205</v>
      </c>
      <c r="L250" s="4">
        <v>14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232</v>
      </c>
      <c r="F251" s="4">
        <f>ROUND(Source!BC235,O251)</f>
        <v>0</v>
      </c>
      <c r="G251" s="4" t="s">
        <v>71</v>
      </c>
      <c r="H251" s="4" t="s">
        <v>72</v>
      </c>
      <c r="I251" s="4"/>
      <c r="J251" s="4"/>
      <c r="K251" s="4">
        <v>232</v>
      </c>
      <c r="L251" s="4">
        <v>15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214</v>
      </c>
      <c r="F252" s="4">
        <f>ROUND(Source!AS235,O252)</f>
        <v>0</v>
      </c>
      <c r="G252" s="4" t="s">
        <v>73</v>
      </c>
      <c r="H252" s="4" t="s">
        <v>74</v>
      </c>
      <c r="I252" s="4"/>
      <c r="J252" s="4"/>
      <c r="K252" s="4">
        <v>214</v>
      </c>
      <c r="L252" s="4">
        <v>16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215</v>
      </c>
      <c r="F253" s="4">
        <f>ROUND(Source!AT235,O253)</f>
        <v>0</v>
      </c>
      <c r="G253" s="4" t="s">
        <v>75</v>
      </c>
      <c r="H253" s="4" t="s">
        <v>76</v>
      </c>
      <c r="I253" s="4"/>
      <c r="J253" s="4"/>
      <c r="K253" s="4">
        <v>215</v>
      </c>
      <c r="L253" s="4">
        <v>17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217</v>
      </c>
      <c r="F254" s="4">
        <f>ROUND(Source!AU235,O254)</f>
        <v>0</v>
      </c>
      <c r="G254" s="4" t="s">
        <v>77</v>
      </c>
      <c r="H254" s="4" t="s">
        <v>78</v>
      </c>
      <c r="I254" s="4"/>
      <c r="J254" s="4"/>
      <c r="K254" s="4">
        <v>217</v>
      </c>
      <c r="L254" s="4">
        <v>18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230</v>
      </c>
      <c r="F255" s="4">
        <f>ROUND(Source!BA235,O255)</f>
        <v>0</v>
      </c>
      <c r="G255" s="4" t="s">
        <v>79</v>
      </c>
      <c r="H255" s="4" t="s">
        <v>80</v>
      </c>
      <c r="I255" s="4"/>
      <c r="J255" s="4"/>
      <c r="K255" s="4">
        <v>230</v>
      </c>
      <c r="L255" s="4">
        <v>19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206</v>
      </c>
      <c r="F256" s="4">
        <f>ROUND(Source!T235,O256)</f>
        <v>0</v>
      </c>
      <c r="G256" s="4" t="s">
        <v>81</v>
      </c>
      <c r="H256" s="4" t="s">
        <v>82</v>
      </c>
      <c r="I256" s="4"/>
      <c r="J256" s="4"/>
      <c r="K256" s="4">
        <v>206</v>
      </c>
      <c r="L256" s="4">
        <v>20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207</v>
      </c>
      <c r="F257" s="4">
        <f>Source!U235</f>
        <v>0</v>
      </c>
      <c r="G257" s="4" t="s">
        <v>83</v>
      </c>
      <c r="H257" s="4" t="s">
        <v>84</v>
      </c>
      <c r="I257" s="4"/>
      <c r="J257" s="4"/>
      <c r="K257" s="4">
        <v>207</v>
      </c>
      <c r="L257" s="4">
        <v>21</v>
      </c>
      <c r="M257" s="4">
        <v>3</v>
      </c>
      <c r="N257" s="4" t="s">
        <v>3</v>
      </c>
      <c r="O257" s="4">
        <v>-1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208</v>
      </c>
      <c r="F258" s="4">
        <f>Source!V235</f>
        <v>0</v>
      </c>
      <c r="G258" s="4" t="s">
        <v>85</v>
      </c>
      <c r="H258" s="4" t="s">
        <v>86</v>
      </c>
      <c r="I258" s="4"/>
      <c r="J258" s="4"/>
      <c r="K258" s="4">
        <v>208</v>
      </c>
      <c r="L258" s="4">
        <v>22</v>
      </c>
      <c r="M258" s="4">
        <v>3</v>
      </c>
      <c r="N258" s="4" t="s">
        <v>3</v>
      </c>
      <c r="O258" s="4">
        <v>-1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209</v>
      </c>
      <c r="F259" s="4">
        <f>ROUND(Source!W235,O259)</f>
        <v>0</v>
      </c>
      <c r="G259" s="4" t="s">
        <v>87</v>
      </c>
      <c r="H259" s="4" t="s">
        <v>88</v>
      </c>
      <c r="I259" s="4"/>
      <c r="J259" s="4"/>
      <c r="K259" s="4">
        <v>209</v>
      </c>
      <c r="L259" s="4">
        <v>23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45" x14ac:dyDescent="0.2">
      <c r="A260" s="4">
        <v>50</v>
      </c>
      <c r="B260" s="4">
        <v>0</v>
      </c>
      <c r="C260" s="4">
        <v>0</v>
      </c>
      <c r="D260" s="4">
        <v>1</v>
      </c>
      <c r="E260" s="4">
        <v>233</v>
      </c>
      <c r="F260" s="4">
        <f>ROUND(Source!BD235,O260)</f>
        <v>0</v>
      </c>
      <c r="G260" s="4" t="s">
        <v>89</v>
      </c>
      <c r="H260" s="4" t="s">
        <v>90</v>
      </c>
      <c r="I260" s="4"/>
      <c r="J260" s="4"/>
      <c r="K260" s="4">
        <v>233</v>
      </c>
      <c r="L260" s="4">
        <v>24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45" x14ac:dyDescent="0.2">
      <c r="A261" s="4">
        <v>50</v>
      </c>
      <c r="B261" s="4">
        <v>0</v>
      </c>
      <c r="C261" s="4">
        <v>0</v>
      </c>
      <c r="D261" s="4">
        <v>1</v>
      </c>
      <c r="E261" s="4">
        <v>210</v>
      </c>
      <c r="F261" s="4">
        <f>ROUND(Source!X235,O261)</f>
        <v>0</v>
      </c>
      <c r="G261" s="4" t="s">
        <v>91</v>
      </c>
      <c r="H261" s="4" t="s">
        <v>92</v>
      </c>
      <c r="I261" s="4"/>
      <c r="J261" s="4"/>
      <c r="K261" s="4">
        <v>210</v>
      </c>
      <c r="L261" s="4">
        <v>25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45" x14ac:dyDescent="0.2">
      <c r="A262" s="4">
        <v>50</v>
      </c>
      <c r="B262" s="4">
        <v>0</v>
      </c>
      <c r="C262" s="4">
        <v>0</v>
      </c>
      <c r="D262" s="4">
        <v>1</v>
      </c>
      <c r="E262" s="4">
        <v>211</v>
      </c>
      <c r="F262" s="4">
        <f>ROUND(Source!Y235,O262)</f>
        <v>0</v>
      </c>
      <c r="G262" s="4" t="s">
        <v>93</v>
      </c>
      <c r="H262" s="4" t="s">
        <v>94</v>
      </c>
      <c r="I262" s="4"/>
      <c r="J262" s="4"/>
      <c r="K262" s="4">
        <v>211</v>
      </c>
      <c r="L262" s="4">
        <v>26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45" x14ac:dyDescent="0.2">
      <c r="A263" s="4">
        <v>50</v>
      </c>
      <c r="B263" s="4">
        <v>0</v>
      </c>
      <c r="C263" s="4">
        <v>0</v>
      </c>
      <c r="D263" s="4">
        <v>1</v>
      </c>
      <c r="E263" s="4">
        <v>224</v>
      </c>
      <c r="F263" s="4">
        <f>ROUND(Source!AR235,O263)</f>
        <v>0</v>
      </c>
      <c r="G263" s="4" t="s">
        <v>95</v>
      </c>
      <c r="H263" s="4" t="s">
        <v>96</v>
      </c>
      <c r="I263" s="4"/>
      <c r="J263" s="4"/>
      <c r="K263" s="4">
        <v>224</v>
      </c>
      <c r="L263" s="4">
        <v>27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5" spans="1:245" x14ac:dyDescent="0.2">
      <c r="A265" s="1">
        <v>5</v>
      </c>
      <c r="B265" s="1">
        <v>0</v>
      </c>
      <c r="C265" s="1"/>
      <c r="D265" s="1">
        <f>ROW(A273)</f>
        <v>273</v>
      </c>
      <c r="E265" s="1"/>
      <c r="F265" s="1" t="s">
        <v>14</v>
      </c>
      <c r="G265" s="1" t="s">
        <v>151</v>
      </c>
      <c r="H265" s="1" t="s">
        <v>3</v>
      </c>
      <c r="I265" s="1">
        <v>0</v>
      </c>
      <c r="J265" s="1"/>
      <c r="K265" s="1">
        <v>-1</v>
      </c>
      <c r="L265" s="1"/>
      <c r="M265" s="1" t="s">
        <v>3</v>
      </c>
      <c r="N265" s="1"/>
      <c r="O265" s="1"/>
      <c r="P265" s="1"/>
      <c r="Q265" s="1"/>
      <c r="R265" s="1"/>
      <c r="S265" s="1">
        <v>0</v>
      </c>
      <c r="T265" s="1"/>
      <c r="U265" s="1" t="s">
        <v>3</v>
      </c>
      <c r="V265" s="1">
        <v>0</v>
      </c>
      <c r="W265" s="1"/>
      <c r="X265" s="1"/>
      <c r="Y265" s="1"/>
      <c r="Z265" s="1"/>
      <c r="AA265" s="1"/>
      <c r="AB265" s="1" t="s">
        <v>3</v>
      </c>
      <c r="AC265" s="1" t="s">
        <v>3</v>
      </c>
      <c r="AD265" s="1" t="s">
        <v>3</v>
      </c>
      <c r="AE265" s="1" t="s">
        <v>3</v>
      </c>
      <c r="AF265" s="1" t="s">
        <v>3</v>
      </c>
      <c r="AG265" s="1" t="s">
        <v>3</v>
      </c>
      <c r="AH265" s="1"/>
      <c r="AI265" s="1"/>
      <c r="AJ265" s="1"/>
      <c r="AK265" s="1"/>
      <c r="AL265" s="1"/>
      <c r="AM265" s="1"/>
      <c r="AN265" s="1"/>
      <c r="AO265" s="1"/>
      <c r="AP265" s="1" t="s">
        <v>3</v>
      </c>
      <c r="AQ265" s="1" t="s">
        <v>3</v>
      </c>
      <c r="AR265" s="1" t="s">
        <v>3</v>
      </c>
      <c r="AS265" s="1"/>
      <c r="AT265" s="1"/>
      <c r="AU265" s="1"/>
      <c r="AV265" s="1"/>
      <c r="AW265" s="1"/>
      <c r="AX265" s="1"/>
      <c r="AY265" s="1"/>
      <c r="AZ265" s="1" t="s">
        <v>3</v>
      </c>
      <c r="BA265" s="1"/>
      <c r="BB265" s="1" t="s">
        <v>3</v>
      </c>
      <c r="BC265" s="1" t="s">
        <v>3</v>
      </c>
      <c r="BD265" s="1" t="s">
        <v>3</v>
      </c>
      <c r="BE265" s="1" t="s">
        <v>3</v>
      </c>
      <c r="BF265" s="1" t="s">
        <v>3</v>
      </c>
      <c r="BG265" s="1" t="s">
        <v>3</v>
      </c>
      <c r="BH265" s="1" t="s">
        <v>3</v>
      </c>
      <c r="BI265" s="1" t="s">
        <v>3</v>
      </c>
      <c r="BJ265" s="1" t="s">
        <v>3</v>
      </c>
      <c r="BK265" s="1" t="s">
        <v>3</v>
      </c>
      <c r="BL265" s="1" t="s">
        <v>3</v>
      </c>
      <c r="BM265" s="1" t="s">
        <v>3</v>
      </c>
      <c r="BN265" s="1" t="s">
        <v>3</v>
      </c>
      <c r="BO265" s="1" t="s">
        <v>3</v>
      </c>
      <c r="BP265" s="1" t="s">
        <v>3</v>
      </c>
      <c r="BQ265" s="1"/>
      <c r="BR265" s="1"/>
      <c r="BS265" s="1"/>
      <c r="BT265" s="1"/>
      <c r="BU265" s="1"/>
      <c r="BV265" s="1"/>
      <c r="BW265" s="1"/>
      <c r="BX265" s="1">
        <v>0</v>
      </c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>
        <v>0</v>
      </c>
    </row>
    <row r="267" spans="1:245" x14ac:dyDescent="0.2">
      <c r="A267" s="2">
        <v>52</v>
      </c>
      <c r="B267" s="2">
        <f t="shared" ref="B267:G267" si="151">B273</f>
        <v>0</v>
      </c>
      <c r="C267" s="2">
        <f t="shared" si="151"/>
        <v>5</v>
      </c>
      <c r="D267" s="2">
        <f t="shared" si="151"/>
        <v>265</v>
      </c>
      <c r="E267" s="2">
        <f t="shared" si="151"/>
        <v>0</v>
      </c>
      <c r="F267" s="2" t="str">
        <f t="shared" si="151"/>
        <v>Новый подраздел</v>
      </c>
      <c r="G267" s="2" t="str">
        <f t="shared" si="151"/>
        <v>К2</v>
      </c>
      <c r="H267" s="2"/>
      <c r="I267" s="2"/>
      <c r="J267" s="2"/>
      <c r="K267" s="2"/>
      <c r="L267" s="2"/>
      <c r="M267" s="2"/>
      <c r="N267" s="2"/>
      <c r="O267" s="2">
        <f t="shared" ref="O267:AT267" si="152">O273</f>
        <v>0</v>
      </c>
      <c r="P267" s="2">
        <f t="shared" si="152"/>
        <v>0</v>
      </c>
      <c r="Q267" s="2">
        <f t="shared" si="152"/>
        <v>0</v>
      </c>
      <c r="R267" s="2">
        <f t="shared" si="152"/>
        <v>0</v>
      </c>
      <c r="S267" s="2">
        <f t="shared" si="152"/>
        <v>0</v>
      </c>
      <c r="T267" s="2">
        <f t="shared" si="152"/>
        <v>0</v>
      </c>
      <c r="U267" s="2">
        <f t="shared" si="152"/>
        <v>0</v>
      </c>
      <c r="V267" s="2">
        <f t="shared" si="152"/>
        <v>0</v>
      </c>
      <c r="W267" s="2">
        <f t="shared" si="152"/>
        <v>0</v>
      </c>
      <c r="X267" s="2">
        <f t="shared" si="152"/>
        <v>0</v>
      </c>
      <c r="Y267" s="2">
        <f t="shared" si="152"/>
        <v>0</v>
      </c>
      <c r="Z267" s="2">
        <f t="shared" si="152"/>
        <v>0</v>
      </c>
      <c r="AA267" s="2">
        <f t="shared" si="152"/>
        <v>0</v>
      </c>
      <c r="AB267" s="2">
        <f t="shared" si="152"/>
        <v>0</v>
      </c>
      <c r="AC267" s="2">
        <f t="shared" si="152"/>
        <v>0</v>
      </c>
      <c r="AD267" s="2">
        <f t="shared" si="152"/>
        <v>0</v>
      </c>
      <c r="AE267" s="2">
        <f t="shared" si="152"/>
        <v>0</v>
      </c>
      <c r="AF267" s="2">
        <f t="shared" si="152"/>
        <v>0</v>
      </c>
      <c r="AG267" s="2">
        <f t="shared" si="152"/>
        <v>0</v>
      </c>
      <c r="AH267" s="2">
        <f t="shared" si="152"/>
        <v>0</v>
      </c>
      <c r="AI267" s="2">
        <f t="shared" si="152"/>
        <v>0</v>
      </c>
      <c r="AJ267" s="2">
        <f t="shared" si="152"/>
        <v>0</v>
      </c>
      <c r="AK267" s="2">
        <f t="shared" si="152"/>
        <v>0</v>
      </c>
      <c r="AL267" s="2">
        <f t="shared" si="152"/>
        <v>0</v>
      </c>
      <c r="AM267" s="2">
        <f t="shared" si="152"/>
        <v>0</v>
      </c>
      <c r="AN267" s="2">
        <f t="shared" si="152"/>
        <v>0</v>
      </c>
      <c r="AO267" s="2">
        <f t="shared" si="152"/>
        <v>0</v>
      </c>
      <c r="AP267" s="2">
        <f t="shared" si="152"/>
        <v>0</v>
      </c>
      <c r="AQ267" s="2">
        <f t="shared" si="152"/>
        <v>0</v>
      </c>
      <c r="AR267" s="2">
        <f t="shared" si="152"/>
        <v>0</v>
      </c>
      <c r="AS267" s="2">
        <f t="shared" si="152"/>
        <v>0</v>
      </c>
      <c r="AT267" s="2">
        <f t="shared" si="152"/>
        <v>0</v>
      </c>
      <c r="AU267" s="2">
        <f t="shared" ref="AU267:BZ267" si="153">AU273</f>
        <v>0</v>
      </c>
      <c r="AV267" s="2">
        <f t="shared" si="153"/>
        <v>0</v>
      </c>
      <c r="AW267" s="2">
        <f t="shared" si="153"/>
        <v>0</v>
      </c>
      <c r="AX267" s="2">
        <f t="shared" si="153"/>
        <v>0</v>
      </c>
      <c r="AY267" s="2">
        <f t="shared" si="153"/>
        <v>0</v>
      </c>
      <c r="AZ267" s="2">
        <f t="shared" si="153"/>
        <v>0</v>
      </c>
      <c r="BA267" s="2">
        <f t="shared" si="153"/>
        <v>0</v>
      </c>
      <c r="BB267" s="2">
        <f t="shared" si="153"/>
        <v>0</v>
      </c>
      <c r="BC267" s="2">
        <f t="shared" si="153"/>
        <v>0</v>
      </c>
      <c r="BD267" s="2">
        <f t="shared" si="153"/>
        <v>0</v>
      </c>
      <c r="BE267" s="2">
        <f t="shared" si="153"/>
        <v>0</v>
      </c>
      <c r="BF267" s="2">
        <f t="shared" si="153"/>
        <v>0</v>
      </c>
      <c r="BG267" s="2">
        <f t="shared" si="153"/>
        <v>0</v>
      </c>
      <c r="BH267" s="2">
        <f t="shared" si="153"/>
        <v>0</v>
      </c>
      <c r="BI267" s="2">
        <f t="shared" si="153"/>
        <v>0</v>
      </c>
      <c r="BJ267" s="2">
        <f t="shared" si="153"/>
        <v>0</v>
      </c>
      <c r="BK267" s="2">
        <f t="shared" si="153"/>
        <v>0</v>
      </c>
      <c r="BL267" s="2">
        <f t="shared" si="153"/>
        <v>0</v>
      </c>
      <c r="BM267" s="2">
        <f t="shared" si="153"/>
        <v>0</v>
      </c>
      <c r="BN267" s="2">
        <f t="shared" si="153"/>
        <v>0</v>
      </c>
      <c r="BO267" s="2">
        <f t="shared" si="153"/>
        <v>0</v>
      </c>
      <c r="BP267" s="2">
        <f t="shared" si="153"/>
        <v>0</v>
      </c>
      <c r="BQ267" s="2">
        <f t="shared" si="153"/>
        <v>0</v>
      </c>
      <c r="BR267" s="2">
        <f t="shared" si="153"/>
        <v>0</v>
      </c>
      <c r="BS267" s="2">
        <f t="shared" si="153"/>
        <v>0</v>
      </c>
      <c r="BT267" s="2">
        <f t="shared" si="153"/>
        <v>0</v>
      </c>
      <c r="BU267" s="2">
        <f t="shared" si="153"/>
        <v>0</v>
      </c>
      <c r="BV267" s="2">
        <f t="shared" si="153"/>
        <v>0</v>
      </c>
      <c r="BW267" s="2">
        <f t="shared" si="153"/>
        <v>0</v>
      </c>
      <c r="BX267" s="2">
        <f t="shared" si="153"/>
        <v>0</v>
      </c>
      <c r="BY267" s="2">
        <f t="shared" si="153"/>
        <v>0</v>
      </c>
      <c r="BZ267" s="2">
        <f t="shared" si="153"/>
        <v>0</v>
      </c>
      <c r="CA267" s="2">
        <f t="shared" ref="CA267:DF267" si="154">CA273</f>
        <v>0</v>
      </c>
      <c r="CB267" s="2">
        <f t="shared" si="154"/>
        <v>0</v>
      </c>
      <c r="CC267" s="2">
        <f t="shared" si="154"/>
        <v>0</v>
      </c>
      <c r="CD267" s="2">
        <f t="shared" si="154"/>
        <v>0</v>
      </c>
      <c r="CE267" s="2">
        <f t="shared" si="154"/>
        <v>0</v>
      </c>
      <c r="CF267" s="2">
        <f t="shared" si="154"/>
        <v>0</v>
      </c>
      <c r="CG267" s="2">
        <f t="shared" si="154"/>
        <v>0</v>
      </c>
      <c r="CH267" s="2">
        <f t="shared" si="154"/>
        <v>0</v>
      </c>
      <c r="CI267" s="2">
        <f t="shared" si="154"/>
        <v>0</v>
      </c>
      <c r="CJ267" s="2">
        <f t="shared" si="154"/>
        <v>0</v>
      </c>
      <c r="CK267" s="2">
        <f t="shared" si="154"/>
        <v>0</v>
      </c>
      <c r="CL267" s="2">
        <f t="shared" si="154"/>
        <v>0</v>
      </c>
      <c r="CM267" s="2">
        <f t="shared" si="154"/>
        <v>0</v>
      </c>
      <c r="CN267" s="2">
        <f t="shared" si="154"/>
        <v>0</v>
      </c>
      <c r="CO267" s="2">
        <f t="shared" si="154"/>
        <v>0</v>
      </c>
      <c r="CP267" s="2">
        <f t="shared" si="154"/>
        <v>0</v>
      </c>
      <c r="CQ267" s="2">
        <f t="shared" si="154"/>
        <v>0</v>
      </c>
      <c r="CR267" s="2">
        <f t="shared" si="154"/>
        <v>0</v>
      </c>
      <c r="CS267" s="2">
        <f t="shared" si="154"/>
        <v>0</v>
      </c>
      <c r="CT267" s="2">
        <f t="shared" si="154"/>
        <v>0</v>
      </c>
      <c r="CU267" s="2">
        <f t="shared" si="154"/>
        <v>0</v>
      </c>
      <c r="CV267" s="2">
        <f t="shared" si="154"/>
        <v>0</v>
      </c>
      <c r="CW267" s="2">
        <f t="shared" si="154"/>
        <v>0</v>
      </c>
      <c r="CX267" s="2">
        <f t="shared" si="154"/>
        <v>0</v>
      </c>
      <c r="CY267" s="2">
        <f t="shared" si="154"/>
        <v>0</v>
      </c>
      <c r="CZ267" s="2">
        <f t="shared" si="154"/>
        <v>0</v>
      </c>
      <c r="DA267" s="2">
        <f t="shared" si="154"/>
        <v>0</v>
      </c>
      <c r="DB267" s="2">
        <f t="shared" si="154"/>
        <v>0</v>
      </c>
      <c r="DC267" s="2">
        <f t="shared" si="154"/>
        <v>0</v>
      </c>
      <c r="DD267" s="2">
        <f t="shared" si="154"/>
        <v>0</v>
      </c>
      <c r="DE267" s="2">
        <f t="shared" si="154"/>
        <v>0</v>
      </c>
      <c r="DF267" s="2">
        <f t="shared" si="154"/>
        <v>0</v>
      </c>
      <c r="DG267" s="3">
        <f t="shared" ref="DG267:EL267" si="155">DG273</f>
        <v>0</v>
      </c>
      <c r="DH267" s="3">
        <f t="shared" si="155"/>
        <v>0</v>
      </c>
      <c r="DI267" s="3">
        <f t="shared" si="155"/>
        <v>0</v>
      </c>
      <c r="DJ267" s="3">
        <f t="shared" si="155"/>
        <v>0</v>
      </c>
      <c r="DK267" s="3">
        <f t="shared" si="155"/>
        <v>0</v>
      </c>
      <c r="DL267" s="3">
        <f t="shared" si="155"/>
        <v>0</v>
      </c>
      <c r="DM267" s="3">
        <f t="shared" si="155"/>
        <v>0</v>
      </c>
      <c r="DN267" s="3">
        <f t="shared" si="155"/>
        <v>0</v>
      </c>
      <c r="DO267" s="3">
        <f t="shared" si="155"/>
        <v>0</v>
      </c>
      <c r="DP267" s="3">
        <f t="shared" si="155"/>
        <v>0</v>
      </c>
      <c r="DQ267" s="3">
        <f t="shared" si="155"/>
        <v>0</v>
      </c>
      <c r="DR267" s="3">
        <f t="shared" si="155"/>
        <v>0</v>
      </c>
      <c r="DS267" s="3">
        <f t="shared" si="155"/>
        <v>0</v>
      </c>
      <c r="DT267" s="3">
        <f t="shared" si="155"/>
        <v>0</v>
      </c>
      <c r="DU267" s="3">
        <f t="shared" si="155"/>
        <v>0</v>
      </c>
      <c r="DV267" s="3">
        <f t="shared" si="155"/>
        <v>0</v>
      </c>
      <c r="DW267" s="3">
        <f t="shared" si="155"/>
        <v>0</v>
      </c>
      <c r="DX267" s="3">
        <f t="shared" si="155"/>
        <v>0</v>
      </c>
      <c r="DY267" s="3">
        <f t="shared" si="155"/>
        <v>0</v>
      </c>
      <c r="DZ267" s="3">
        <f t="shared" si="155"/>
        <v>0</v>
      </c>
      <c r="EA267" s="3">
        <f t="shared" si="155"/>
        <v>0</v>
      </c>
      <c r="EB267" s="3">
        <f t="shared" si="155"/>
        <v>0</v>
      </c>
      <c r="EC267" s="3">
        <f t="shared" si="155"/>
        <v>0</v>
      </c>
      <c r="ED267" s="3">
        <f t="shared" si="155"/>
        <v>0</v>
      </c>
      <c r="EE267" s="3">
        <f t="shared" si="155"/>
        <v>0</v>
      </c>
      <c r="EF267" s="3">
        <f t="shared" si="155"/>
        <v>0</v>
      </c>
      <c r="EG267" s="3">
        <f t="shared" si="155"/>
        <v>0</v>
      </c>
      <c r="EH267" s="3">
        <f t="shared" si="155"/>
        <v>0</v>
      </c>
      <c r="EI267" s="3">
        <f t="shared" si="155"/>
        <v>0</v>
      </c>
      <c r="EJ267" s="3">
        <f t="shared" si="155"/>
        <v>0</v>
      </c>
      <c r="EK267" s="3">
        <f t="shared" si="155"/>
        <v>0</v>
      </c>
      <c r="EL267" s="3">
        <f t="shared" si="155"/>
        <v>0</v>
      </c>
      <c r="EM267" s="3">
        <f t="shared" ref="EM267:FR267" si="156">EM273</f>
        <v>0</v>
      </c>
      <c r="EN267" s="3">
        <f t="shared" si="156"/>
        <v>0</v>
      </c>
      <c r="EO267" s="3">
        <f t="shared" si="156"/>
        <v>0</v>
      </c>
      <c r="EP267" s="3">
        <f t="shared" si="156"/>
        <v>0</v>
      </c>
      <c r="EQ267" s="3">
        <f t="shared" si="156"/>
        <v>0</v>
      </c>
      <c r="ER267" s="3">
        <f t="shared" si="156"/>
        <v>0</v>
      </c>
      <c r="ES267" s="3">
        <f t="shared" si="156"/>
        <v>0</v>
      </c>
      <c r="ET267" s="3">
        <f t="shared" si="156"/>
        <v>0</v>
      </c>
      <c r="EU267" s="3">
        <f t="shared" si="156"/>
        <v>0</v>
      </c>
      <c r="EV267" s="3">
        <f t="shared" si="156"/>
        <v>0</v>
      </c>
      <c r="EW267" s="3">
        <f t="shared" si="156"/>
        <v>0</v>
      </c>
      <c r="EX267" s="3">
        <f t="shared" si="156"/>
        <v>0</v>
      </c>
      <c r="EY267" s="3">
        <f t="shared" si="156"/>
        <v>0</v>
      </c>
      <c r="EZ267" s="3">
        <f t="shared" si="156"/>
        <v>0</v>
      </c>
      <c r="FA267" s="3">
        <f t="shared" si="156"/>
        <v>0</v>
      </c>
      <c r="FB267" s="3">
        <f t="shared" si="156"/>
        <v>0</v>
      </c>
      <c r="FC267" s="3">
        <f t="shared" si="156"/>
        <v>0</v>
      </c>
      <c r="FD267" s="3">
        <f t="shared" si="156"/>
        <v>0</v>
      </c>
      <c r="FE267" s="3">
        <f t="shared" si="156"/>
        <v>0</v>
      </c>
      <c r="FF267" s="3">
        <f t="shared" si="156"/>
        <v>0</v>
      </c>
      <c r="FG267" s="3">
        <f t="shared" si="156"/>
        <v>0</v>
      </c>
      <c r="FH267" s="3">
        <f t="shared" si="156"/>
        <v>0</v>
      </c>
      <c r="FI267" s="3">
        <f t="shared" si="156"/>
        <v>0</v>
      </c>
      <c r="FJ267" s="3">
        <f t="shared" si="156"/>
        <v>0</v>
      </c>
      <c r="FK267" s="3">
        <f t="shared" si="156"/>
        <v>0</v>
      </c>
      <c r="FL267" s="3">
        <f t="shared" si="156"/>
        <v>0</v>
      </c>
      <c r="FM267" s="3">
        <f t="shared" si="156"/>
        <v>0</v>
      </c>
      <c r="FN267" s="3">
        <f t="shared" si="156"/>
        <v>0</v>
      </c>
      <c r="FO267" s="3">
        <f t="shared" si="156"/>
        <v>0</v>
      </c>
      <c r="FP267" s="3">
        <f t="shared" si="156"/>
        <v>0</v>
      </c>
      <c r="FQ267" s="3">
        <f t="shared" si="156"/>
        <v>0</v>
      </c>
      <c r="FR267" s="3">
        <f t="shared" si="156"/>
        <v>0</v>
      </c>
      <c r="FS267" s="3">
        <f t="shared" ref="FS267:GX267" si="157">FS273</f>
        <v>0</v>
      </c>
      <c r="FT267" s="3">
        <f t="shared" si="157"/>
        <v>0</v>
      </c>
      <c r="FU267" s="3">
        <f t="shared" si="157"/>
        <v>0</v>
      </c>
      <c r="FV267" s="3">
        <f t="shared" si="157"/>
        <v>0</v>
      </c>
      <c r="FW267" s="3">
        <f t="shared" si="157"/>
        <v>0</v>
      </c>
      <c r="FX267" s="3">
        <f t="shared" si="157"/>
        <v>0</v>
      </c>
      <c r="FY267" s="3">
        <f t="shared" si="157"/>
        <v>0</v>
      </c>
      <c r="FZ267" s="3">
        <f t="shared" si="157"/>
        <v>0</v>
      </c>
      <c r="GA267" s="3">
        <f t="shared" si="157"/>
        <v>0</v>
      </c>
      <c r="GB267" s="3">
        <f t="shared" si="157"/>
        <v>0</v>
      </c>
      <c r="GC267" s="3">
        <f t="shared" si="157"/>
        <v>0</v>
      </c>
      <c r="GD267" s="3">
        <f t="shared" si="157"/>
        <v>0</v>
      </c>
      <c r="GE267" s="3">
        <f t="shared" si="157"/>
        <v>0</v>
      </c>
      <c r="GF267" s="3">
        <f t="shared" si="157"/>
        <v>0</v>
      </c>
      <c r="GG267" s="3">
        <f t="shared" si="157"/>
        <v>0</v>
      </c>
      <c r="GH267" s="3">
        <f t="shared" si="157"/>
        <v>0</v>
      </c>
      <c r="GI267" s="3">
        <f t="shared" si="157"/>
        <v>0</v>
      </c>
      <c r="GJ267" s="3">
        <f t="shared" si="157"/>
        <v>0</v>
      </c>
      <c r="GK267" s="3">
        <f t="shared" si="157"/>
        <v>0</v>
      </c>
      <c r="GL267" s="3">
        <f t="shared" si="157"/>
        <v>0</v>
      </c>
      <c r="GM267" s="3">
        <f t="shared" si="157"/>
        <v>0</v>
      </c>
      <c r="GN267" s="3">
        <f t="shared" si="157"/>
        <v>0</v>
      </c>
      <c r="GO267" s="3">
        <f t="shared" si="157"/>
        <v>0</v>
      </c>
      <c r="GP267" s="3">
        <f t="shared" si="157"/>
        <v>0</v>
      </c>
      <c r="GQ267" s="3">
        <f t="shared" si="157"/>
        <v>0</v>
      </c>
      <c r="GR267" s="3">
        <f t="shared" si="157"/>
        <v>0</v>
      </c>
      <c r="GS267" s="3">
        <f t="shared" si="157"/>
        <v>0</v>
      </c>
      <c r="GT267" s="3">
        <f t="shared" si="157"/>
        <v>0</v>
      </c>
      <c r="GU267" s="3">
        <f t="shared" si="157"/>
        <v>0</v>
      </c>
      <c r="GV267" s="3">
        <f t="shared" si="157"/>
        <v>0</v>
      </c>
      <c r="GW267" s="3">
        <f t="shared" si="157"/>
        <v>0</v>
      </c>
      <c r="GX267" s="3">
        <f t="shared" si="157"/>
        <v>0</v>
      </c>
    </row>
    <row r="269" spans="1:245" x14ac:dyDescent="0.2">
      <c r="A269">
        <v>17</v>
      </c>
      <c r="B269">
        <v>0</v>
      </c>
      <c r="D269">
        <f>ROW(EtalonRes!A50)</f>
        <v>50</v>
      </c>
      <c r="E269" t="s">
        <v>3</v>
      </c>
      <c r="F269" t="s">
        <v>98</v>
      </c>
      <c r="G269" t="s">
        <v>99</v>
      </c>
      <c r="H269" t="s">
        <v>26</v>
      </c>
      <c r="I269">
        <f>ROUND((599+265+203)/100,9)</f>
        <v>10.67</v>
      </c>
      <c r="J269">
        <v>0</v>
      </c>
      <c r="K269">
        <f>ROUND((599+265+203)/100,9)</f>
        <v>10.67</v>
      </c>
      <c r="O269">
        <f>ROUND(CP269,2)</f>
        <v>180402.17</v>
      </c>
      <c r="P269">
        <f>ROUND(CQ269*I269,2)</f>
        <v>29110.11</v>
      </c>
      <c r="Q269">
        <f>ROUND(CR269*I269,2)</f>
        <v>0</v>
      </c>
      <c r="R269">
        <f>ROUND(CS269*I269,2)</f>
        <v>0</v>
      </c>
      <c r="S269">
        <f>ROUND(CT269*I269,2)</f>
        <v>151292.06</v>
      </c>
      <c r="T269">
        <f>ROUND(CU269*I269,2)</f>
        <v>0</v>
      </c>
      <c r="U269">
        <f>CV269*I269</f>
        <v>315.1918</v>
      </c>
      <c r="V269">
        <f>CW269*I269</f>
        <v>0</v>
      </c>
      <c r="W269">
        <f>ROUND(CX269*I269,2)</f>
        <v>0</v>
      </c>
      <c r="X269">
        <f t="shared" ref="X269:Y271" si="158">ROUND(CY269,2)</f>
        <v>105904.44</v>
      </c>
      <c r="Y269">
        <f t="shared" si="158"/>
        <v>15129.21</v>
      </c>
      <c r="AA269">
        <v>-1</v>
      </c>
      <c r="AB269">
        <f>ROUND((AC269+AD269+AF269),6)</f>
        <v>16907.419999999998</v>
      </c>
      <c r="AC269">
        <f>ROUND((ES269),6)</f>
        <v>2728.22</v>
      </c>
      <c r="AD269">
        <f>ROUND((((ET269)-(EU269))+AE269),6)</f>
        <v>0</v>
      </c>
      <c r="AE269">
        <f>ROUND((EU269),6)</f>
        <v>0</v>
      </c>
      <c r="AF269">
        <f>ROUND((EV269),6)</f>
        <v>14179.2</v>
      </c>
      <c r="AG269">
        <f>ROUND((AP269),6)</f>
        <v>0</v>
      </c>
      <c r="AH269">
        <f>(EW269)</f>
        <v>29.54</v>
      </c>
      <c r="AI269">
        <f>(EX269)</f>
        <v>0</v>
      </c>
      <c r="AJ269">
        <f>(AS269)</f>
        <v>0</v>
      </c>
      <c r="AK269">
        <v>16907.419999999998</v>
      </c>
      <c r="AL269">
        <v>2728.22</v>
      </c>
      <c r="AM269">
        <v>0</v>
      </c>
      <c r="AN269">
        <v>0</v>
      </c>
      <c r="AO269">
        <v>14179.2</v>
      </c>
      <c r="AP269">
        <v>0</v>
      </c>
      <c r="AQ269">
        <v>29.54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100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>(P269+Q269+S269)</f>
        <v>180402.16999999998</v>
      </c>
      <c r="CQ269">
        <f>(AC269*BC269*AW269)</f>
        <v>2728.22</v>
      </c>
      <c r="CR269">
        <f>((((ET269)*BB269-(EU269)*BS269)+AE269*BS269)*AV269)</f>
        <v>0</v>
      </c>
      <c r="CS269">
        <f>(AE269*BS269*AV269)</f>
        <v>0</v>
      </c>
      <c r="CT269">
        <f>(AF269*BA269*AV269)</f>
        <v>14179.2</v>
      </c>
      <c r="CU269">
        <f>AG269</f>
        <v>0</v>
      </c>
      <c r="CV269">
        <f>(AH269*AV269)</f>
        <v>29.54</v>
      </c>
      <c r="CW269">
        <f t="shared" ref="CW269:CX271" si="159">AI269</f>
        <v>0</v>
      </c>
      <c r="CX269">
        <f t="shared" si="159"/>
        <v>0</v>
      </c>
      <c r="CY269">
        <f>((S269*BZ269)/100)</f>
        <v>105904.442</v>
      </c>
      <c r="CZ269">
        <f>((S269*CA269)/100)</f>
        <v>15129.206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1003</v>
      </c>
      <c r="DV269" t="s">
        <v>26</v>
      </c>
      <c r="DW269" t="s">
        <v>26</v>
      </c>
      <c r="DX269">
        <v>100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21</v>
      </c>
      <c r="EH269">
        <v>0</v>
      </c>
      <c r="EI269" t="s">
        <v>3</v>
      </c>
      <c r="EJ269">
        <v>4</v>
      </c>
      <c r="EK269">
        <v>0</v>
      </c>
      <c r="EL269" t="s">
        <v>22</v>
      </c>
      <c r="EM269" t="s">
        <v>23</v>
      </c>
      <c r="EO269" t="s">
        <v>3</v>
      </c>
      <c r="EQ269">
        <v>1024</v>
      </c>
      <c r="ER269">
        <v>16907.419999999998</v>
      </c>
      <c r="ES269">
        <v>2728.22</v>
      </c>
      <c r="ET269">
        <v>0</v>
      </c>
      <c r="EU269">
        <v>0</v>
      </c>
      <c r="EV269">
        <v>14179.2</v>
      </c>
      <c r="EW269">
        <v>29.54</v>
      </c>
      <c r="EX269">
        <v>0</v>
      </c>
      <c r="EY269">
        <v>0</v>
      </c>
      <c r="FQ269">
        <v>0</v>
      </c>
      <c r="FR269">
        <f>ROUND(IF(BI269=3,GM269,0),2)</f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-317825441</v>
      </c>
      <c r="GG269">
        <v>2</v>
      </c>
      <c r="GH269">
        <v>1</v>
      </c>
      <c r="GI269">
        <v>-2</v>
      </c>
      <c r="GJ269">
        <v>0</v>
      </c>
      <c r="GK269">
        <f>ROUND(R269*(R12)/100,2)</f>
        <v>0</v>
      </c>
      <c r="GL269">
        <f>ROUND(IF(AND(BH269=3,BI269=3,FS269&lt;&gt;0),P269,0),2)</f>
        <v>0</v>
      </c>
      <c r="GM269">
        <f>ROUND(O269+X269+Y269+GK269,2)+GX269</f>
        <v>301435.82</v>
      </c>
      <c r="GN269">
        <f>IF(OR(BI269=0,BI269=1),GM269-GX269,0)</f>
        <v>0</v>
      </c>
      <c r="GO269">
        <f>IF(BI269=2,GM269-GX269,0)</f>
        <v>0</v>
      </c>
      <c r="GP269">
        <f>IF(BI269=4,GM269-GX269,0)</f>
        <v>301435.82</v>
      </c>
      <c r="GR269">
        <v>0</v>
      </c>
      <c r="GS269">
        <v>3</v>
      </c>
      <c r="GT269">
        <v>0</v>
      </c>
      <c r="GU269" t="s">
        <v>3</v>
      </c>
      <c r="GV269">
        <f>ROUND((GT269),6)</f>
        <v>0</v>
      </c>
      <c r="GW269">
        <v>1</v>
      </c>
      <c r="GX269">
        <f>ROUND(HC269*I269,2)</f>
        <v>0</v>
      </c>
      <c r="HA269">
        <v>0</v>
      </c>
      <c r="HB269">
        <v>0</v>
      </c>
      <c r="HC269">
        <f>GV269*GW269</f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0</v>
      </c>
      <c r="C270">
        <f>ROW(SmtRes!A11)</f>
        <v>11</v>
      </c>
      <c r="D270">
        <f>ROW(EtalonRes!A51)</f>
        <v>51</v>
      </c>
      <c r="E270" t="s">
        <v>3</v>
      </c>
      <c r="F270" t="s">
        <v>148</v>
      </c>
      <c r="G270" t="s">
        <v>149</v>
      </c>
      <c r="H270" t="s">
        <v>26</v>
      </c>
      <c r="I270">
        <f>ROUND((599+265+203)/100,9)</f>
        <v>10.67</v>
      </c>
      <c r="J270">
        <v>0</v>
      </c>
      <c r="K270">
        <f>ROUND((599+265+203)/100,9)</f>
        <v>10.67</v>
      </c>
      <c r="O270">
        <f>ROUND(CP270,2)</f>
        <v>51465.57</v>
      </c>
      <c r="P270">
        <f>ROUND(CQ270*I270,2)</f>
        <v>0</v>
      </c>
      <c r="Q270">
        <f>ROUND(CR270*I270,2)</f>
        <v>0</v>
      </c>
      <c r="R270">
        <f>ROUND(CS270*I270,2)</f>
        <v>0</v>
      </c>
      <c r="S270">
        <f>ROUND(CT270*I270,2)</f>
        <v>51465.57</v>
      </c>
      <c r="T270">
        <f>ROUND(CU270*I270,2)</f>
        <v>0</v>
      </c>
      <c r="U270">
        <f>CV270*I270</f>
        <v>91.548599999999993</v>
      </c>
      <c r="V270">
        <f>CW270*I270</f>
        <v>0</v>
      </c>
      <c r="W270">
        <f>ROUND(CX270*I270,2)</f>
        <v>0</v>
      </c>
      <c r="X270">
        <f t="shared" si="158"/>
        <v>36025.9</v>
      </c>
      <c r="Y270">
        <f t="shared" si="158"/>
        <v>5146.5600000000004</v>
      </c>
      <c r="AA270">
        <v>-1</v>
      </c>
      <c r="AB270">
        <f>ROUND((AC270+AD270+AF270),6)</f>
        <v>4823.3900000000003</v>
      </c>
      <c r="AC270">
        <f>ROUND(((ES270*11)),6)</f>
        <v>0</v>
      </c>
      <c r="AD270">
        <f>ROUND(((((ET270*11))-((EU270*11)))+AE270),6)</f>
        <v>0</v>
      </c>
      <c r="AE270">
        <f>ROUND(((EU270*11)),6)</f>
        <v>0</v>
      </c>
      <c r="AF270">
        <f>ROUND(((EV270*11)),6)</f>
        <v>4823.3900000000003</v>
      </c>
      <c r="AG270">
        <f>ROUND((AP270),6)</f>
        <v>0</v>
      </c>
      <c r="AH270">
        <f>((EW270*11))</f>
        <v>8.58</v>
      </c>
      <c r="AI270">
        <f>((EX270*11))</f>
        <v>0</v>
      </c>
      <c r="AJ270">
        <f>(AS270)</f>
        <v>0</v>
      </c>
      <c r="AK270">
        <v>438.49</v>
      </c>
      <c r="AL270">
        <v>0</v>
      </c>
      <c r="AM270">
        <v>0</v>
      </c>
      <c r="AN270">
        <v>0</v>
      </c>
      <c r="AO270">
        <v>438.49</v>
      </c>
      <c r="AP270">
        <v>0</v>
      </c>
      <c r="AQ270">
        <v>0.78</v>
      </c>
      <c r="AR270">
        <v>0</v>
      </c>
      <c r="AS270">
        <v>0</v>
      </c>
      <c r="AT270">
        <v>70</v>
      </c>
      <c r="AU270">
        <v>10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150</v>
      </c>
      <c r="BM270">
        <v>0</v>
      </c>
      <c r="BN270">
        <v>0</v>
      </c>
      <c r="BO270" t="s">
        <v>3</v>
      </c>
      <c r="BP270">
        <v>0</v>
      </c>
      <c r="BQ270">
        <v>1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10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>(P270+Q270+S270)</f>
        <v>51465.57</v>
      </c>
      <c r="CQ270">
        <f>(AC270*BC270*AW270)</f>
        <v>0</v>
      </c>
      <c r="CR270">
        <f>(((((ET270*11))*BB270-((EU270*11))*BS270)+AE270*BS270)*AV270)</f>
        <v>0</v>
      </c>
      <c r="CS270">
        <f>(AE270*BS270*AV270)</f>
        <v>0</v>
      </c>
      <c r="CT270">
        <f>(AF270*BA270*AV270)</f>
        <v>4823.3900000000003</v>
      </c>
      <c r="CU270">
        <f>AG270</f>
        <v>0</v>
      </c>
      <c r="CV270">
        <f>(AH270*AV270)</f>
        <v>8.58</v>
      </c>
      <c r="CW270">
        <f t="shared" si="159"/>
        <v>0</v>
      </c>
      <c r="CX270">
        <f t="shared" si="159"/>
        <v>0</v>
      </c>
      <c r="CY270">
        <f>((S270*BZ270)/100)</f>
        <v>36025.898999999998</v>
      </c>
      <c r="CZ270">
        <f>((S270*CA270)/100)</f>
        <v>5146.5569999999998</v>
      </c>
      <c r="DC270" t="s">
        <v>3</v>
      </c>
      <c r="DD270" t="s">
        <v>152</v>
      </c>
      <c r="DE270" t="s">
        <v>152</v>
      </c>
      <c r="DF270" t="s">
        <v>152</v>
      </c>
      <c r="DG270" t="s">
        <v>152</v>
      </c>
      <c r="DH270" t="s">
        <v>3</v>
      </c>
      <c r="DI270" t="s">
        <v>152</v>
      </c>
      <c r="DJ270" t="s">
        <v>152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1003</v>
      </c>
      <c r="DV270" t="s">
        <v>26</v>
      </c>
      <c r="DW270" t="s">
        <v>26</v>
      </c>
      <c r="DX270">
        <v>100</v>
      </c>
      <c r="DZ270" t="s">
        <v>3</v>
      </c>
      <c r="EA270" t="s">
        <v>3</v>
      </c>
      <c r="EB270" t="s">
        <v>3</v>
      </c>
      <c r="EC270" t="s">
        <v>3</v>
      </c>
      <c r="EE270">
        <v>1441815344</v>
      </c>
      <c r="EF270">
        <v>1</v>
      </c>
      <c r="EG270" t="s">
        <v>21</v>
      </c>
      <c r="EH270">
        <v>0</v>
      </c>
      <c r="EI270" t="s">
        <v>3</v>
      </c>
      <c r="EJ270">
        <v>4</v>
      </c>
      <c r="EK270">
        <v>0</v>
      </c>
      <c r="EL270" t="s">
        <v>22</v>
      </c>
      <c r="EM270" t="s">
        <v>23</v>
      </c>
      <c r="EO270" t="s">
        <v>3</v>
      </c>
      <c r="EQ270">
        <v>1024</v>
      </c>
      <c r="ER270">
        <v>438.49</v>
      </c>
      <c r="ES270">
        <v>0</v>
      </c>
      <c r="ET270">
        <v>0</v>
      </c>
      <c r="EU270">
        <v>0</v>
      </c>
      <c r="EV270">
        <v>438.49</v>
      </c>
      <c r="EW270">
        <v>0.78</v>
      </c>
      <c r="EX270">
        <v>0</v>
      </c>
      <c r="EY270">
        <v>0</v>
      </c>
      <c r="FQ270">
        <v>0</v>
      </c>
      <c r="FR270">
        <f>ROUND(IF(BI270=3,GM270,0),2)</f>
        <v>0</v>
      </c>
      <c r="FS270">
        <v>0</v>
      </c>
      <c r="FX270">
        <v>70</v>
      </c>
      <c r="FY270">
        <v>10</v>
      </c>
      <c r="GA270" t="s">
        <v>3</v>
      </c>
      <c r="GD270">
        <v>0</v>
      </c>
      <c r="GF270">
        <v>189766521</v>
      </c>
      <c r="GG270">
        <v>2</v>
      </c>
      <c r="GH270">
        <v>1</v>
      </c>
      <c r="GI270">
        <v>-2</v>
      </c>
      <c r="GJ270">
        <v>0</v>
      </c>
      <c r="GK270">
        <f>ROUND(R270*(R12)/100,2)</f>
        <v>0</v>
      </c>
      <c r="GL270">
        <f>ROUND(IF(AND(BH270=3,BI270=3,FS270&lt;&gt;0),P270,0),2)</f>
        <v>0</v>
      </c>
      <c r="GM270">
        <f>ROUND(O270+X270+Y270+GK270,2)+GX270</f>
        <v>92638.03</v>
      </c>
      <c r="GN270">
        <f>IF(OR(BI270=0,BI270=1),GM270-GX270,0)</f>
        <v>0</v>
      </c>
      <c r="GO270">
        <f>IF(BI270=2,GM270-GX270,0)</f>
        <v>0</v>
      </c>
      <c r="GP270">
        <f>IF(BI270=4,GM270-GX270,0)</f>
        <v>92638.03</v>
      </c>
      <c r="GR270">
        <v>0</v>
      </c>
      <c r="GS270">
        <v>3</v>
      </c>
      <c r="GT270">
        <v>0</v>
      </c>
      <c r="GU270" t="s">
        <v>3</v>
      </c>
      <c r="GV270">
        <f>ROUND((GT270),6)</f>
        <v>0</v>
      </c>
      <c r="GW270">
        <v>1</v>
      </c>
      <c r="GX270">
        <f>ROUND(HC270*I270,2)</f>
        <v>0</v>
      </c>
      <c r="HA270">
        <v>0</v>
      </c>
      <c r="HB270">
        <v>0</v>
      </c>
      <c r="HC270">
        <f>GV270*GW270</f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0</v>
      </c>
      <c r="D271">
        <f>ROW(EtalonRes!A52)</f>
        <v>52</v>
      </c>
      <c r="E271" t="s">
        <v>3</v>
      </c>
      <c r="F271" t="s">
        <v>101</v>
      </c>
      <c r="G271" t="s">
        <v>102</v>
      </c>
      <c r="H271" t="s">
        <v>18</v>
      </c>
      <c r="I271">
        <v>24</v>
      </c>
      <c r="J271">
        <v>0</v>
      </c>
      <c r="K271">
        <v>24</v>
      </c>
      <c r="O271">
        <f>ROUND(CP271,2)</f>
        <v>23117.759999999998</v>
      </c>
      <c r="P271">
        <f>ROUND(CQ271*I271,2)</f>
        <v>0</v>
      </c>
      <c r="Q271">
        <f>ROUND(CR271*I271,2)</f>
        <v>0</v>
      </c>
      <c r="R271">
        <f>ROUND(CS271*I271,2)</f>
        <v>0</v>
      </c>
      <c r="S271">
        <f>ROUND(CT271*I271,2)</f>
        <v>23117.759999999998</v>
      </c>
      <c r="T271">
        <f>ROUND(CU271*I271,2)</f>
        <v>0</v>
      </c>
      <c r="U271">
        <f>CV271*I271</f>
        <v>37.44</v>
      </c>
      <c r="V271">
        <f>CW271*I271</f>
        <v>0</v>
      </c>
      <c r="W271">
        <f>ROUND(CX271*I271,2)</f>
        <v>0</v>
      </c>
      <c r="X271">
        <f t="shared" si="158"/>
        <v>16182.43</v>
      </c>
      <c r="Y271">
        <f t="shared" si="158"/>
        <v>2311.7800000000002</v>
      </c>
      <c r="AA271">
        <v>-1</v>
      </c>
      <c r="AB271">
        <f>ROUND((AC271+AD271+AF271),6)</f>
        <v>963.24</v>
      </c>
      <c r="AC271">
        <f>ROUND(((ES271*12)),6)</f>
        <v>0</v>
      </c>
      <c r="AD271">
        <f>ROUND(((((ET271*12))-((EU271*12)))+AE271),6)</f>
        <v>0</v>
      </c>
      <c r="AE271">
        <f>ROUND(((EU271*12)),6)</f>
        <v>0</v>
      </c>
      <c r="AF271">
        <f>ROUND(((EV271*12)),6)</f>
        <v>963.24</v>
      </c>
      <c r="AG271">
        <f>ROUND((AP271),6)</f>
        <v>0</v>
      </c>
      <c r="AH271">
        <f>((EW271*12))</f>
        <v>1.56</v>
      </c>
      <c r="AI271">
        <f>((EX271*12))</f>
        <v>0</v>
      </c>
      <c r="AJ271">
        <f>(AS271)</f>
        <v>0</v>
      </c>
      <c r="AK271">
        <v>80.27</v>
      </c>
      <c r="AL271">
        <v>0</v>
      </c>
      <c r="AM271">
        <v>0</v>
      </c>
      <c r="AN271">
        <v>0</v>
      </c>
      <c r="AO271">
        <v>80.27</v>
      </c>
      <c r="AP271">
        <v>0</v>
      </c>
      <c r="AQ271">
        <v>0.13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103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>(P271+Q271+S271)</f>
        <v>23117.759999999998</v>
      </c>
      <c r="CQ271">
        <f>(AC271*BC271*AW271)</f>
        <v>0</v>
      </c>
      <c r="CR271">
        <f>(((((ET271*12))*BB271-((EU271*12))*BS271)+AE271*BS271)*AV271)</f>
        <v>0</v>
      </c>
      <c r="CS271">
        <f>(AE271*BS271*AV271)</f>
        <v>0</v>
      </c>
      <c r="CT271">
        <f>(AF271*BA271*AV271)</f>
        <v>963.24</v>
      </c>
      <c r="CU271">
        <f>AG271</f>
        <v>0</v>
      </c>
      <c r="CV271">
        <f>(AH271*AV271)</f>
        <v>1.56</v>
      </c>
      <c r="CW271">
        <f t="shared" si="159"/>
        <v>0</v>
      </c>
      <c r="CX271">
        <f t="shared" si="159"/>
        <v>0</v>
      </c>
      <c r="CY271">
        <f>((S271*BZ271)/100)</f>
        <v>16182.431999999999</v>
      </c>
      <c r="CZ271">
        <f>((S271*CA271)/100)</f>
        <v>2311.7759999999998</v>
      </c>
      <c r="DC271" t="s">
        <v>3</v>
      </c>
      <c r="DD271" t="s">
        <v>153</v>
      </c>
      <c r="DE271" t="s">
        <v>153</v>
      </c>
      <c r="DF271" t="s">
        <v>153</v>
      </c>
      <c r="DG271" t="s">
        <v>153</v>
      </c>
      <c r="DH271" t="s">
        <v>3</v>
      </c>
      <c r="DI271" t="s">
        <v>153</v>
      </c>
      <c r="DJ271" t="s">
        <v>153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16987630</v>
      </c>
      <c r="DV271" t="s">
        <v>18</v>
      </c>
      <c r="DW271" t="s">
        <v>18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1441815344</v>
      </c>
      <c r="EF271">
        <v>1</v>
      </c>
      <c r="EG271" t="s">
        <v>21</v>
      </c>
      <c r="EH271">
        <v>0</v>
      </c>
      <c r="EI271" t="s">
        <v>3</v>
      </c>
      <c r="EJ271">
        <v>4</v>
      </c>
      <c r="EK271">
        <v>0</v>
      </c>
      <c r="EL271" t="s">
        <v>22</v>
      </c>
      <c r="EM271" t="s">
        <v>23</v>
      </c>
      <c r="EO271" t="s">
        <v>3</v>
      </c>
      <c r="EQ271">
        <v>1024</v>
      </c>
      <c r="ER271">
        <v>80.27</v>
      </c>
      <c r="ES271">
        <v>0</v>
      </c>
      <c r="ET271">
        <v>0</v>
      </c>
      <c r="EU271">
        <v>0</v>
      </c>
      <c r="EV271">
        <v>80.27</v>
      </c>
      <c r="EW271">
        <v>0.13</v>
      </c>
      <c r="EX271">
        <v>0</v>
      </c>
      <c r="EY271">
        <v>0</v>
      </c>
      <c r="FQ271">
        <v>0</v>
      </c>
      <c r="FR271">
        <f>ROUND(IF(BI271=3,GM271,0),2)</f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1384570016</v>
      </c>
      <c r="GG271">
        <v>2</v>
      </c>
      <c r="GH271">
        <v>1</v>
      </c>
      <c r="GI271">
        <v>-2</v>
      </c>
      <c r="GJ271">
        <v>0</v>
      </c>
      <c r="GK271">
        <f>ROUND(R271*(R12)/100,2)</f>
        <v>0</v>
      </c>
      <c r="GL271">
        <f>ROUND(IF(AND(BH271=3,BI271=3,FS271&lt;&gt;0),P271,0),2)</f>
        <v>0</v>
      </c>
      <c r="GM271">
        <f>ROUND(O271+X271+Y271+GK271,2)+GX271</f>
        <v>41611.97</v>
      </c>
      <c r="GN271">
        <f>IF(OR(BI271=0,BI271=1),GM271-GX271,0)</f>
        <v>0</v>
      </c>
      <c r="GO271">
        <f>IF(BI271=2,GM271-GX271,0)</f>
        <v>0</v>
      </c>
      <c r="GP271">
        <f>IF(BI271=4,GM271-GX271,0)</f>
        <v>41611.97</v>
      </c>
      <c r="GR271">
        <v>0</v>
      </c>
      <c r="GS271">
        <v>3</v>
      </c>
      <c r="GT271">
        <v>0</v>
      </c>
      <c r="GU271" t="s">
        <v>3</v>
      </c>
      <c r="GV271">
        <f>ROUND((GT271),6)</f>
        <v>0</v>
      </c>
      <c r="GW271">
        <v>1</v>
      </c>
      <c r="GX271">
        <f>ROUND(HC271*I271,2)</f>
        <v>0</v>
      </c>
      <c r="HA271">
        <v>0</v>
      </c>
      <c r="HB271">
        <v>0</v>
      </c>
      <c r="HC271">
        <f>GV271*GW271</f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3" spans="1:206" x14ac:dyDescent="0.2">
      <c r="A273" s="2">
        <v>51</v>
      </c>
      <c r="B273" s="2">
        <f>B265</f>
        <v>0</v>
      </c>
      <c r="C273" s="2">
        <f>A265</f>
        <v>5</v>
      </c>
      <c r="D273" s="2">
        <f>ROW(A265)</f>
        <v>265</v>
      </c>
      <c r="E273" s="2"/>
      <c r="F273" s="2" t="str">
        <f>IF(F265&lt;&gt;"",F265,"")</f>
        <v>Новый подраздел</v>
      </c>
      <c r="G273" s="2" t="str">
        <f>IF(G265&lt;&gt;"",G265,"")</f>
        <v>К2</v>
      </c>
      <c r="H273" s="2">
        <v>0</v>
      </c>
      <c r="I273" s="2"/>
      <c r="J273" s="2"/>
      <c r="K273" s="2"/>
      <c r="L273" s="2"/>
      <c r="M273" s="2"/>
      <c r="N273" s="2"/>
      <c r="O273" s="2">
        <f t="shared" ref="O273:T273" si="160">ROUND(AB273,2)</f>
        <v>0</v>
      </c>
      <c r="P273" s="2">
        <f t="shared" si="160"/>
        <v>0</v>
      </c>
      <c r="Q273" s="2">
        <f t="shared" si="160"/>
        <v>0</v>
      </c>
      <c r="R273" s="2">
        <f t="shared" si="160"/>
        <v>0</v>
      </c>
      <c r="S273" s="2">
        <f t="shared" si="160"/>
        <v>0</v>
      </c>
      <c r="T273" s="2">
        <f t="shared" si="160"/>
        <v>0</v>
      </c>
      <c r="U273" s="2">
        <f>AH273</f>
        <v>0</v>
      </c>
      <c r="V273" s="2">
        <f>AI273</f>
        <v>0</v>
      </c>
      <c r="W273" s="2">
        <f>ROUND(AJ273,2)</f>
        <v>0</v>
      </c>
      <c r="X273" s="2">
        <f>ROUND(AK273,2)</f>
        <v>0</v>
      </c>
      <c r="Y273" s="2">
        <f>ROUND(AL273,2)</f>
        <v>0</v>
      </c>
      <c r="Z273" s="2"/>
      <c r="AA273" s="2"/>
      <c r="AB273" s="2">
        <f>ROUND(SUMIF(AA269:AA271,"=1473080740",O269:O271),2)</f>
        <v>0</v>
      </c>
      <c r="AC273" s="2">
        <f>ROUND(SUMIF(AA269:AA271,"=1473080740",P269:P271),2)</f>
        <v>0</v>
      </c>
      <c r="AD273" s="2">
        <f>ROUND(SUMIF(AA269:AA271,"=1473080740",Q269:Q271),2)</f>
        <v>0</v>
      </c>
      <c r="AE273" s="2">
        <f>ROUND(SUMIF(AA269:AA271,"=1473080740",R269:R271),2)</f>
        <v>0</v>
      </c>
      <c r="AF273" s="2">
        <f>ROUND(SUMIF(AA269:AA271,"=1473080740",S269:S271),2)</f>
        <v>0</v>
      </c>
      <c r="AG273" s="2">
        <f>ROUND(SUMIF(AA269:AA271,"=1473080740",T269:T271),2)</f>
        <v>0</v>
      </c>
      <c r="AH273" s="2">
        <f>SUMIF(AA269:AA271,"=1473080740",U269:U271)</f>
        <v>0</v>
      </c>
      <c r="AI273" s="2">
        <f>SUMIF(AA269:AA271,"=1473080740",V269:V271)</f>
        <v>0</v>
      </c>
      <c r="AJ273" s="2">
        <f>ROUND(SUMIF(AA269:AA271,"=1473080740",W269:W271),2)</f>
        <v>0</v>
      </c>
      <c r="AK273" s="2">
        <f>ROUND(SUMIF(AA269:AA271,"=1473080740",X269:X271),2)</f>
        <v>0</v>
      </c>
      <c r="AL273" s="2">
        <f>ROUND(SUMIF(AA269:AA271,"=1473080740",Y269:Y271),2)</f>
        <v>0</v>
      </c>
      <c r="AM273" s="2"/>
      <c r="AN273" s="2"/>
      <c r="AO273" s="2">
        <f t="shared" ref="AO273:BD273" si="161">ROUND(BX273,2)</f>
        <v>0</v>
      </c>
      <c r="AP273" s="2">
        <f t="shared" si="161"/>
        <v>0</v>
      </c>
      <c r="AQ273" s="2">
        <f t="shared" si="161"/>
        <v>0</v>
      </c>
      <c r="AR273" s="2">
        <f t="shared" si="161"/>
        <v>0</v>
      </c>
      <c r="AS273" s="2">
        <f t="shared" si="161"/>
        <v>0</v>
      </c>
      <c r="AT273" s="2">
        <f t="shared" si="161"/>
        <v>0</v>
      </c>
      <c r="AU273" s="2">
        <f t="shared" si="161"/>
        <v>0</v>
      </c>
      <c r="AV273" s="2">
        <f t="shared" si="161"/>
        <v>0</v>
      </c>
      <c r="AW273" s="2">
        <f t="shared" si="161"/>
        <v>0</v>
      </c>
      <c r="AX273" s="2">
        <f t="shared" si="161"/>
        <v>0</v>
      </c>
      <c r="AY273" s="2">
        <f t="shared" si="161"/>
        <v>0</v>
      </c>
      <c r="AZ273" s="2">
        <f t="shared" si="161"/>
        <v>0</v>
      </c>
      <c r="BA273" s="2">
        <f t="shared" si="161"/>
        <v>0</v>
      </c>
      <c r="BB273" s="2">
        <f t="shared" si="161"/>
        <v>0</v>
      </c>
      <c r="BC273" s="2">
        <f t="shared" si="161"/>
        <v>0</v>
      </c>
      <c r="BD273" s="2">
        <f t="shared" si="161"/>
        <v>0</v>
      </c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>
        <f>ROUND(SUMIF(AA269:AA271,"=1473080740",FQ269:FQ271),2)</f>
        <v>0</v>
      </c>
      <c r="BY273" s="2">
        <f>ROUND(SUMIF(AA269:AA271,"=1473080740",FR269:FR271),2)</f>
        <v>0</v>
      </c>
      <c r="BZ273" s="2">
        <f>ROUND(SUMIF(AA269:AA271,"=1473080740",GL269:GL271),2)</f>
        <v>0</v>
      </c>
      <c r="CA273" s="2">
        <f>ROUND(SUMIF(AA269:AA271,"=1473080740",GM269:GM271),2)</f>
        <v>0</v>
      </c>
      <c r="CB273" s="2">
        <f>ROUND(SUMIF(AA269:AA271,"=1473080740",GN269:GN271),2)</f>
        <v>0</v>
      </c>
      <c r="CC273" s="2">
        <f>ROUND(SUMIF(AA269:AA271,"=1473080740",GO269:GO271),2)</f>
        <v>0</v>
      </c>
      <c r="CD273" s="2">
        <f>ROUND(SUMIF(AA269:AA271,"=1473080740",GP269:GP271),2)</f>
        <v>0</v>
      </c>
      <c r="CE273" s="2">
        <f>AC273-BX273</f>
        <v>0</v>
      </c>
      <c r="CF273" s="2">
        <f>AC273-BY273</f>
        <v>0</v>
      </c>
      <c r="CG273" s="2">
        <f>BX273-BZ273</f>
        <v>0</v>
      </c>
      <c r="CH273" s="2">
        <f>AC273-BX273-BY273+BZ273</f>
        <v>0</v>
      </c>
      <c r="CI273" s="2">
        <f>BY273-BZ273</f>
        <v>0</v>
      </c>
      <c r="CJ273" s="2">
        <f>ROUND(SUMIF(AA269:AA271,"=1473080740",GX269:GX271),2)</f>
        <v>0</v>
      </c>
      <c r="CK273" s="2">
        <f>ROUND(SUMIF(AA269:AA271,"=1473080740",GY269:GY271),2)</f>
        <v>0</v>
      </c>
      <c r="CL273" s="2">
        <f>ROUND(SUMIF(AA269:AA271,"=1473080740",GZ269:GZ271),2)</f>
        <v>0</v>
      </c>
      <c r="CM273" s="2">
        <f>ROUND(SUMIF(AA269:AA271,"=1473080740",HD269:HD271),2)</f>
        <v>0</v>
      </c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  <c r="DW273" s="3"/>
      <c r="DX273" s="3"/>
      <c r="DY273" s="3"/>
      <c r="DZ273" s="3"/>
      <c r="EA273" s="3"/>
      <c r="EB273" s="3"/>
      <c r="EC273" s="3"/>
      <c r="ED273" s="3"/>
      <c r="EE273" s="3"/>
      <c r="EF273" s="3"/>
      <c r="EG273" s="3"/>
      <c r="EH273" s="3"/>
      <c r="EI273" s="3"/>
      <c r="EJ273" s="3"/>
      <c r="EK273" s="3"/>
      <c r="EL273" s="3"/>
      <c r="EM273" s="3"/>
      <c r="EN273" s="3"/>
      <c r="EO273" s="3"/>
      <c r="EP273" s="3"/>
      <c r="EQ273" s="3"/>
      <c r="ER273" s="3"/>
      <c r="ES273" s="3"/>
      <c r="ET273" s="3"/>
      <c r="EU273" s="3"/>
      <c r="EV273" s="3"/>
      <c r="EW273" s="3"/>
      <c r="EX273" s="3"/>
      <c r="EY273" s="3"/>
      <c r="EZ273" s="3"/>
      <c r="FA273" s="3"/>
      <c r="FB273" s="3"/>
      <c r="FC273" s="3"/>
      <c r="FD273" s="3"/>
      <c r="FE273" s="3"/>
      <c r="FF273" s="3"/>
      <c r="FG273" s="3"/>
      <c r="FH273" s="3"/>
      <c r="FI273" s="3"/>
      <c r="FJ273" s="3"/>
      <c r="FK273" s="3"/>
      <c r="FL273" s="3"/>
      <c r="FM273" s="3"/>
      <c r="FN273" s="3"/>
      <c r="FO273" s="3"/>
      <c r="FP273" s="3"/>
      <c r="FQ273" s="3"/>
      <c r="FR273" s="3"/>
      <c r="FS273" s="3"/>
      <c r="FT273" s="3"/>
      <c r="FU273" s="3"/>
      <c r="FV273" s="3"/>
      <c r="FW273" s="3"/>
      <c r="FX273" s="3"/>
      <c r="FY273" s="3"/>
      <c r="FZ273" s="3"/>
      <c r="GA273" s="3"/>
      <c r="GB273" s="3"/>
      <c r="GC273" s="3"/>
      <c r="GD273" s="3"/>
      <c r="GE273" s="3"/>
      <c r="GF273" s="3"/>
      <c r="GG273" s="3"/>
      <c r="GH273" s="3"/>
      <c r="GI273" s="3"/>
      <c r="GJ273" s="3"/>
      <c r="GK273" s="3"/>
      <c r="GL273" s="3"/>
      <c r="GM273" s="3"/>
      <c r="GN273" s="3"/>
      <c r="GO273" s="3"/>
      <c r="GP273" s="3"/>
      <c r="GQ273" s="3"/>
      <c r="GR273" s="3"/>
      <c r="GS273" s="3"/>
      <c r="GT273" s="3"/>
      <c r="GU273" s="3"/>
      <c r="GV273" s="3"/>
      <c r="GW273" s="3"/>
      <c r="GX273" s="3">
        <v>0</v>
      </c>
    </row>
    <row r="275" spans="1:206" x14ac:dyDescent="0.2">
      <c r="A275" s="4">
        <v>50</v>
      </c>
      <c r="B275" s="4">
        <v>0</v>
      </c>
      <c r="C275" s="4">
        <v>0</v>
      </c>
      <c r="D275" s="4">
        <v>1</v>
      </c>
      <c r="E275" s="4">
        <v>201</v>
      </c>
      <c r="F275" s="4">
        <f>ROUND(Source!O273,O275)</f>
        <v>0</v>
      </c>
      <c r="G275" s="4" t="s">
        <v>43</v>
      </c>
      <c r="H275" s="4" t="s">
        <v>44</v>
      </c>
      <c r="I275" s="4"/>
      <c r="J275" s="4"/>
      <c r="K275" s="4">
        <v>201</v>
      </c>
      <c r="L275" s="4">
        <v>1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202</v>
      </c>
      <c r="F276" s="4">
        <f>ROUND(Source!P273,O276)</f>
        <v>0</v>
      </c>
      <c r="G276" s="4" t="s">
        <v>45</v>
      </c>
      <c r="H276" s="4" t="s">
        <v>46</v>
      </c>
      <c r="I276" s="4"/>
      <c r="J276" s="4"/>
      <c r="K276" s="4">
        <v>202</v>
      </c>
      <c r="L276" s="4">
        <v>2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222</v>
      </c>
      <c r="F277" s="4">
        <f>ROUND(Source!AO273,O277)</f>
        <v>0</v>
      </c>
      <c r="G277" s="4" t="s">
        <v>47</v>
      </c>
      <c r="H277" s="4" t="s">
        <v>48</v>
      </c>
      <c r="I277" s="4"/>
      <c r="J277" s="4"/>
      <c r="K277" s="4">
        <v>222</v>
      </c>
      <c r="L277" s="4">
        <v>3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225</v>
      </c>
      <c r="F278" s="4">
        <f>ROUND(Source!AV273,O278)</f>
        <v>0</v>
      </c>
      <c r="G278" s="4" t="s">
        <v>49</v>
      </c>
      <c r="H278" s="4" t="s">
        <v>50</v>
      </c>
      <c r="I278" s="4"/>
      <c r="J278" s="4"/>
      <c r="K278" s="4">
        <v>225</v>
      </c>
      <c r="L278" s="4">
        <v>4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226</v>
      </c>
      <c r="F279" s="4">
        <f>ROUND(Source!AW273,O279)</f>
        <v>0</v>
      </c>
      <c r="G279" s="4" t="s">
        <v>51</v>
      </c>
      <c r="H279" s="4" t="s">
        <v>52</v>
      </c>
      <c r="I279" s="4"/>
      <c r="J279" s="4"/>
      <c r="K279" s="4">
        <v>226</v>
      </c>
      <c r="L279" s="4">
        <v>5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227</v>
      </c>
      <c r="F280" s="4">
        <f>ROUND(Source!AX273,O280)</f>
        <v>0</v>
      </c>
      <c r="G280" s="4" t="s">
        <v>53</v>
      </c>
      <c r="H280" s="4" t="s">
        <v>54</v>
      </c>
      <c r="I280" s="4"/>
      <c r="J280" s="4"/>
      <c r="K280" s="4">
        <v>227</v>
      </c>
      <c r="L280" s="4">
        <v>6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228</v>
      </c>
      <c r="F281" s="4">
        <f>ROUND(Source!AY273,O281)</f>
        <v>0</v>
      </c>
      <c r="G281" s="4" t="s">
        <v>55</v>
      </c>
      <c r="H281" s="4" t="s">
        <v>56</v>
      </c>
      <c r="I281" s="4"/>
      <c r="J281" s="4"/>
      <c r="K281" s="4">
        <v>228</v>
      </c>
      <c r="L281" s="4">
        <v>7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216</v>
      </c>
      <c r="F282" s="4">
        <f>ROUND(Source!AP273,O282)</f>
        <v>0</v>
      </c>
      <c r="G282" s="4" t="s">
        <v>57</v>
      </c>
      <c r="H282" s="4" t="s">
        <v>58</v>
      </c>
      <c r="I282" s="4"/>
      <c r="J282" s="4"/>
      <c r="K282" s="4">
        <v>216</v>
      </c>
      <c r="L282" s="4">
        <v>8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223</v>
      </c>
      <c r="F283" s="4">
        <f>ROUND(Source!AQ273,O283)</f>
        <v>0</v>
      </c>
      <c r="G283" s="4" t="s">
        <v>59</v>
      </c>
      <c r="H283" s="4" t="s">
        <v>60</v>
      </c>
      <c r="I283" s="4"/>
      <c r="J283" s="4"/>
      <c r="K283" s="4">
        <v>223</v>
      </c>
      <c r="L283" s="4">
        <v>9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229</v>
      </c>
      <c r="F284" s="4">
        <f>ROUND(Source!AZ273,O284)</f>
        <v>0</v>
      </c>
      <c r="G284" s="4" t="s">
        <v>61</v>
      </c>
      <c r="H284" s="4" t="s">
        <v>62</v>
      </c>
      <c r="I284" s="4"/>
      <c r="J284" s="4"/>
      <c r="K284" s="4">
        <v>229</v>
      </c>
      <c r="L284" s="4">
        <v>10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203</v>
      </c>
      <c r="F285" s="4">
        <f>ROUND(Source!Q273,O285)</f>
        <v>0</v>
      </c>
      <c r="G285" s="4" t="s">
        <v>63</v>
      </c>
      <c r="H285" s="4" t="s">
        <v>64</v>
      </c>
      <c r="I285" s="4"/>
      <c r="J285" s="4"/>
      <c r="K285" s="4">
        <v>203</v>
      </c>
      <c r="L285" s="4">
        <v>11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231</v>
      </c>
      <c r="F286" s="4">
        <f>ROUND(Source!BB273,O286)</f>
        <v>0</v>
      </c>
      <c r="G286" s="4" t="s">
        <v>65</v>
      </c>
      <c r="H286" s="4" t="s">
        <v>66</v>
      </c>
      <c r="I286" s="4"/>
      <c r="J286" s="4"/>
      <c r="K286" s="4">
        <v>231</v>
      </c>
      <c r="L286" s="4">
        <v>12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204</v>
      </c>
      <c r="F287" s="4">
        <f>ROUND(Source!R273,O287)</f>
        <v>0</v>
      </c>
      <c r="G287" s="4" t="s">
        <v>67</v>
      </c>
      <c r="H287" s="4" t="s">
        <v>68</v>
      </c>
      <c r="I287" s="4"/>
      <c r="J287" s="4"/>
      <c r="K287" s="4">
        <v>204</v>
      </c>
      <c r="L287" s="4">
        <v>13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205</v>
      </c>
      <c r="F288" s="4">
        <f>ROUND(Source!S273,O288)</f>
        <v>0</v>
      </c>
      <c r="G288" s="4" t="s">
        <v>69</v>
      </c>
      <c r="H288" s="4" t="s">
        <v>70</v>
      </c>
      <c r="I288" s="4"/>
      <c r="J288" s="4"/>
      <c r="K288" s="4">
        <v>205</v>
      </c>
      <c r="L288" s="4">
        <v>14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06" x14ac:dyDescent="0.2">
      <c r="A289" s="4">
        <v>50</v>
      </c>
      <c r="B289" s="4">
        <v>0</v>
      </c>
      <c r="C289" s="4">
        <v>0</v>
      </c>
      <c r="D289" s="4">
        <v>1</v>
      </c>
      <c r="E289" s="4">
        <v>232</v>
      </c>
      <c r="F289" s="4">
        <f>ROUND(Source!BC273,O289)</f>
        <v>0</v>
      </c>
      <c r="G289" s="4" t="s">
        <v>71</v>
      </c>
      <c r="H289" s="4" t="s">
        <v>72</v>
      </c>
      <c r="I289" s="4"/>
      <c r="J289" s="4"/>
      <c r="K289" s="4">
        <v>232</v>
      </c>
      <c r="L289" s="4">
        <v>15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06" x14ac:dyDescent="0.2">
      <c r="A290" s="4">
        <v>50</v>
      </c>
      <c r="B290" s="4">
        <v>0</v>
      </c>
      <c r="C290" s="4">
        <v>0</v>
      </c>
      <c r="D290" s="4">
        <v>1</v>
      </c>
      <c r="E290" s="4">
        <v>214</v>
      </c>
      <c r="F290" s="4">
        <f>ROUND(Source!AS273,O290)</f>
        <v>0</v>
      </c>
      <c r="G290" s="4" t="s">
        <v>73</v>
      </c>
      <c r="H290" s="4" t="s">
        <v>74</v>
      </c>
      <c r="I290" s="4"/>
      <c r="J290" s="4"/>
      <c r="K290" s="4">
        <v>214</v>
      </c>
      <c r="L290" s="4">
        <v>16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215</v>
      </c>
      <c r="F291" s="4">
        <f>ROUND(Source!AT273,O291)</f>
        <v>0</v>
      </c>
      <c r="G291" s="4" t="s">
        <v>75</v>
      </c>
      <c r="H291" s="4" t="s">
        <v>76</v>
      </c>
      <c r="I291" s="4"/>
      <c r="J291" s="4"/>
      <c r="K291" s="4">
        <v>215</v>
      </c>
      <c r="L291" s="4">
        <v>17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217</v>
      </c>
      <c r="F292" s="4">
        <f>ROUND(Source!AU273,O292)</f>
        <v>0</v>
      </c>
      <c r="G292" s="4" t="s">
        <v>77</v>
      </c>
      <c r="H292" s="4" t="s">
        <v>78</v>
      </c>
      <c r="I292" s="4"/>
      <c r="J292" s="4"/>
      <c r="K292" s="4">
        <v>217</v>
      </c>
      <c r="L292" s="4">
        <v>18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230</v>
      </c>
      <c r="F293" s="4">
        <f>ROUND(Source!BA273,O293)</f>
        <v>0</v>
      </c>
      <c r="G293" s="4" t="s">
        <v>79</v>
      </c>
      <c r="H293" s="4" t="s">
        <v>80</v>
      </c>
      <c r="I293" s="4"/>
      <c r="J293" s="4"/>
      <c r="K293" s="4">
        <v>230</v>
      </c>
      <c r="L293" s="4">
        <v>19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206</v>
      </c>
      <c r="F294" s="4">
        <f>ROUND(Source!T273,O294)</f>
        <v>0</v>
      </c>
      <c r="G294" s="4" t="s">
        <v>81</v>
      </c>
      <c r="H294" s="4" t="s">
        <v>82</v>
      </c>
      <c r="I294" s="4"/>
      <c r="J294" s="4"/>
      <c r="K294" s="4">
        <v>206</v>
      </c>
      <c r="L294" s="4">
        <v>20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207</v>
      </c>
      <c r="F295" s="4">
        <f>Source!U273</f>
        <v>0</v>
      </c>
      <c r="G295" s="4" t="s">
        <v>83</v>
      </c>
      <c r="H295" s="4" t="s">
        <v>84</v>
      </c>
      <c r="I295" s="4"/>
      <c r="J295" s="4"/>
      <c r="K295" s="4">
        <v>207</v>
      </c>
      <c r="L295" s="4">
        <v>21</v>
      </c>
      <c r="M295" s="4">
        <v>3</v>
      </c>
      <c r="N295" s="4" t="s">
        <v>3</v>
      </c>
      <c r="O295" s="4">
        <v>-1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208</v>
      </c>
      <c r="F296" s="4">
        <f>Source!V273</f>
        <v>0</v>
      </c>
      <c r="G296" s="4" t="s">
        <v>85</v>
      </c>
      <c r="H296" s="4" t="s">
        <v>86</v>
      </c>
      <c r="I296" s="4"/>
      <c r="J296" s="4"/>
      <c r="K296" s="4">
        <v>208</v>
      </c>
      <c r="L296" s="4">
        <v>22</v>
      </c>
      <c r="M296" s="4">
        <v>3</v>
      </c>
      <c r="N296" s="4" t="s">
        <v>3</v>
      </c>
      <c r="O296" s="4">
        <v>-1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209</v>
      </c>
      <c r="F297" s="4">
        <f>ROUND(Source!W273,O297)</f>
        <v>0</v>
      </c>
      <c r="G297" s="4" t="s">
        <v>87</v>
      </c>
      <c r="H297" s="4" t="s">
        <v>88</v>
      </c>
      <c r="I297" s="4"/>
      <c r="J297" s="4"/>
      <c r="K297" s="4">
        <v>209</v>
      </c>
      <c r="L297" s="4">
        <v>23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233</v>
      </c>
      <c r="F298" s="4">
        <f>ROUND(Source!BD273,O298)</f>
        <v>0</v>
      </c>
      <c r="G298" s="4" t="s">
        <v>89</v>
      </c>
      <c r="H298" s="4" t="s">
        <v>90</v>
      </c>
      <c r="I298" s="4"/>
      <c r="J298" s="4"/>
      <c r="K298" s="4">
        <v>233</v>
      </c>
      <c r="L298" s="4">
        <v>24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210</v>
      </c>
      <c r="F299" s="4">
        <f>ROUND(Source!X273,O299)</f>
        <v>0</v>
      </c>
      <c r="G299" s="4" t="s">
        <v>91</v>
      </c>
      <c r="H299" s="4" t="s">
        <v>92</v>
      </c>
      <c r="I299" s="4"/>
      <c r="J299" s="4"/>
      <c r="K299" s="4">
        <v>210</v>
      </c>
      <c r="L299" s="4">
        <v>25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06" x14ac:dyDescent="0.2">
      <c r="A300" s="4">
        <v>50</v>
      </c>
      <c r="B300" s="4">
        <v>0</v>
      </c>
      <c r="C300" s="4">
        <v>0</v>
      </c>
      <c r="D300" s="4">
        <v>1</v>
      </c>
      <c r="E300" s="4">
        <v>211</v>
      </c>
      <c r="F300" s="4">
        <f>ROUND(Source!Y273,O300)</f>
        <v>0</v>
      </c>
      <c r="G300" s="4" t="s">
        <v>93</v>
      </c>
      <c r="H300" s="4" t="s">
        <v>94</v>
      </c>
      <c r="I300" s="4"/>
      <c r="J300" s="4"/>
      <c r="K300" s="4">
        <v>211</v>
      </c>
      <c r="L300" s="4">
        <v>26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06" x14ac:dyDescent="0.2">
      <c r="A301" s="4">
        <v>50</v>
      </c>
      <c r="B301" s="4">
        <v>0</v>
      </c>
      <c r="C301" s="4">
        <v>0</v>
      </c>
      <c r="D301" s="4">
        <v>1</v>
      </c>
      <c r="E301" s="4">
        <v>224</v>
      </c>
      <c r="F301" s="4">
        <f>ROUND(Source!AR273,O301)</f>
        <v>0</v>
      </c>
      <c r="G301" s="4" t="s">
        <v>95</v>
      </c>
      <c r="H301" s="4" t="s">
        <v>96</v>
      </c>
      <c r="I301" s="4"/>
      <c r="J301" s="4"/>
      <c r="K301" s="4">
        <v>224</v>
      </c>
      <c r="L301" s="4">
        <v>27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3" spans="1:206" x14ac:dyDescent="0.2">
      <c r="A303" s="2">
        <v>51</v>
      </c>
      <c r="B303" s="2">
        <f>B24</f>
        <v>1</v>
      </c>
      <c r="C303" s="2">
        <f>A24</f>
        <v>4</v>
      </c>
      <c r="D303" s="2">
        <f>ROW(A24)</f>
        <v>24</v>
      </c>
      <c r="E303" s="2"/>
      <c r="F303" s="2" t="str">
        <f>IF(F24&lt;&gt;"",F24,"")</f>
        <v>Новый раздел</v>
      </c>
      <c r="G303" s="2" t="str">
        <f>IF(G24&lt;&gt;"",G24,"")</f>
        <v>Водоснабжение и водоотведение</v>
      </c>
      <c r="H303" s="2">
        <v>0</v>
      </c>
      <c r="I303" s="2"/>
      <c r="J303" s="2"/>
      <c r="K303" s="2"/>
      <c r="L303" s="2"/>
      <c r="M303" s="2"/>
      <c r="N303" s="2"/>
      <c r="O303" s="2">
        <f t="shared" ref="O303:T303" si="162">ROUND(O39+O78+O124+O162+O199+O235+O273+AB303,2)</f>
        <v>32527.46</v>
      </c>
      <c r="P303" s="2">
        <f t="shared" si="162"/>
        <v>281.25</v>
      </c>
      <c r="Q303" s="2">
        <f t="shared" si="162"/>
        <v>3773.46</v>
      </c>
      <c r="R303" s="2">
        <f t="shared" si="162"/>
        <v>2384.5300000000002</v>
      </c>
      <c r="S303" s="2">
        <f t="shared" si="162"/>
        <v>28472.75</v>
      </c>
      <c r="T303" s="2">
        <f t="shared" si="162"/>
        <v>0</v>
      </c>
      <c r="U303" s="2">
        <f>U39+U78+U124+U162+U199+U235+U273+AH303</f>
        <v>53.359899999999996</v>
      </c>
      <c r="V303" s="2">
        <f>V39+V78+V124+V162+V199+V235+V273+AI303</f>
        <v>0</v>
      </c>
      <c r="W303" s="2">
        <f>ROUND(W39+W78+W124+W162+W199+W235+W273+AJ303,2)</f>
        <v>0</v>
      </c>
      <c r="X303" s="2">
        <f>ROUND(X39+X78+X124+X162+X199+X235+X273+AK303,2)</f>
        <v>19930.919999999998</v>
      </c>
      <c r="Y303" s="2">
        <f>ROUND(Y39+Y78+Y124+Y162+Y199+Y235+Y273+AL303,2)</f>
        <v>2847.27</v>
      </c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>
        <f t="shared" ref="AO303:BD303" si="163">ROUND(AO39+AO78+AO124+AO162+AO199+AO235+AO273+BX303,2)</f>
        <v>0</v>
      </c>
      <c r="AP303" s="2">
        <f t="shared" si="163"/>
        <v>0</v>
      </c>
      <c r="AQ303" s="2">
        <f t="shared" si="163"/>
        <v>0</v>
      </c>
      <c r="AR303" s="2">
        <f t="shared" si="163"/>
        <v>57880.95</v>
      </c>
      <c r="AS303" s="2">
        <f t="shared" si="163"/>
        <v>0</v>
      </c>
      <c r="AT303" s="2">
        <f t="shared" si="163"/>
        <v>0</v>
      </c>
      <c r="AU303" s="2">
        <f t="shared" si="163"/>
        <v>57880.95</v>
      </c>
      <c r="AV303" s="2">
        <f t="shared" si="163"/>
        <v>281.25</v>
      </c>
      <c r="AW303" s="2">
        <f t="shared" si="163"/>
        <v>281.25</v>
      </c>
      <c r="AX303" s="2">
        <f t="shared" si="163"/>
        <v>0</v>
      </c>
      <c r="AY303" s="2">
        <f t="shared" si="163"/>
        <v>281.25</v>
      </c>
      <c r="AZ303" s="2">
        <f t="shared" si="163"/>
        <v>0</v>
      </c>
      <c r="BA303" s="2">
        <f t="shared" si="163"/>
        <v>0</v>
      </c>
      <c r="BB303" s="2">
        <f t="shared" si="163"/>
        <v>0</v>
      </c>
      <c r="BC303" s="2">
        <f t="shared" si="163"/>
        <v>0</v>
      </c>
      <c r="BD303" s="2">
        <f t="shared" si="163"/>
        <v>0</v>
      </c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  <c r="DW303" s="3"/>
      <c r="DX303" s="3"/>
      <c r="DY303" s="3"/>
      <c r="DZ303" s="3"/>
      <c r="EA303" s="3"/>
      <c r="EB303" s="3"/>
      <c r="EC303" s="3"/>
      <c r="ED303" s="3"/>
      <c r="EE303" s="3"/>
      <c r="EF303" s="3"/>
      <c r="EG303" s="3"/>
      <c r="EH303" s="3"/>
      <c r="EI303" s="3"/>
      <c r="EJ303" s="3"/>
      <c r="EK303" s="3"/>
      <c r="EL303" s="3"/>
      <c r="EM303" s="3"/>
      <c r="EN303" s="3"/>
      <c r="EO303" s="3"/>
      <c r="EP303" s="3"/>
      <c r="EQ303" s="3"/>
      <c r="ER303" s="3"/>
      <c r="ES303" s="3"/>
      <c r="ET303" s="3"/>
      <c r="EU303" s="3"/>
      <c r="EV303" s="3"/>
      <c r="EW303" s="3"/>
      <c r="EX303" s="3"/>
      <c r="EY303" s="3"/>
      <c r="EZ303" s="3"/>
      <c r="FA303" s="3"/>
      <c r="FB303" s="3"/>
      <c r="FC303" s="3"/>
      <c r="FD303" s="3"/>
      <c r="FE303" s="3"/>
      <c r="FF303" s="3"/>
      <c r="FG303" s="3"/>
      <c r="FH303" s="3"/>
      <c r="FI303" s="3"/>
      <c r="FJ303" s="3"/>
      <c r="FK303" s="3"/>
      <c r="FL303" s="3"/>
      <c r="FM303" s="3"/>
      <c r="FN303" s="3"/>
      <c r="FO303" s="3"/>
      <c r="FP303" s="3"/>
      <c r="FQ303" s="3"/>
      <c r="FR303" s="3"/>
      <c r="FS303" s="3"/>
      <c r="FT303" s="3"/>
      <c r="FU303" s="3"/>
      <c r="FV303" s="3"/>
      <c r="FW303" s="3"/>
      <c r="FX303" s="3"/>
      <c r="FY303" s="3"/>
      <c r="FZ303" s="3"/>
      <c r="GA303" s="3"/>
      <c r="GB303" s="3"/>
      <c r="GC303" s="3"/>
      <c r="GD303" s="3"/>
      <c r="GE303" s="3"/>
      <c r="GF303" s="3"/>
      <c r="GG303" s="3"/>
      <c r="GH303" s="3"/>
      <c r="GI303" s="3"/>
      <c r="GJ303" s="3"/>
      <c r="GK303" s="3"/>
      <c r="GL303" s="3"/>
      <c r="GM303" s="3"/>
      <c r="GN303" s="3"/>
      <c r="GO303" s="3"/>
      <c r="GP303" s="3"/>
      <c r="GQ303" s="3"/>
      <c r="GR303" s="3"/>
      <c r="GS303" s="3"/>
      <c r="GT303" s="3"/>
      <c r="GU303" s="3"/>
      <c r="GV303" s="3"/>
      <c r="GW303" s="3"/>
      <c r="GX303" s="3">
        <v>0</v>
      </c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201</v>
      </c>
      <c r="F305" s="4">
        <f>ROUND(Source!O303,O305)</f>
        <v>32527.46</v>
      </c>
      <c r="G305" s="4" t="s">
        <v>43</v>
      </c>
      <c r="H305" s="4" t="s">
        <v>44</v>
      </c>
      <c r="I305" s="4"/>
      <c r="J305" s="4"/>
      <c r="K305" s="4">
        <v>201</v>
      </c>
      <c r="L305" s="4">
        <v>1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32527.46</v>
      </c>
      <c r="X305" s="4">
        <v>1</v>
      </c>
      <c r="Y305" s="4">
        <v>32527.46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202</v>
      </c>
      <c r="F306" s="4">
        <f>ROUND(Source!P303,O306)</f>
        <v>281.25</v>
      </c>
      <c r="G306" s="4" t="s">
        <v>45</v>
      </c>
      <c r="H306" s="4" t="s">
        <v>46</v>
      </c>
      <c r="I306" s="4"/>
      <c r="J306" s="4"/>
      <c r="K306" s="4">
        <v>202</v>
      </c>
      <c r="L306" s="4">
        <v>2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281.25</v>
      </c>
      <c r="X306" s="4">
        <v>1</v>
      </c>
      <c r="Y306" s="4">
        <v>281.25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222</v>
      </c>
      <c r="F307" s="4">
        <f>ROUND(Source!AO303,O307)</f>
        <v>0</v>
      </c>
      <c r="G307" s="4" t="s">
        <v>47</v>
      </c>
      <c r="H307" s="4" t="s">
        <v>48</v>
      </c>
      <c r="I307" s="4"/>
      <c r="J307" s="4"/>
      <c r="K307" s="4">
        <v>222</v>
      </c>
      <c r="L307" s="4">
        <v>3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225</v>
      </c>
      <c r="F308" s="4">
        <f>ROUND(Source!AV303,O308)</f>
        <v>281.25</v>
      </c>
      <c r="G308" s="4" t="s">
        <v>49</v>
      </c>
      <c r="H308" s="4" t="s">
        <v>50</v>
      </c>
      <c r="I308" s="4"/>
      <c r="J308" s="4"/>
      <c r="K308" s="4">
        <v>225</v>
      </c>
      <c r="L308" s="4">
        <v>4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281.25</v>
      </c>
      <c r="X308" s="4">
        <v>1</v>
      </c>
      <c r="Y308" s="4">
        <v>281.25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226</v>
      </c>
      <c r="F309" s="4">
        <f>ROUND(Source!AW303,O309)</f>
        <v>281.25</v>
      </c>
      <c r="G309" s="4" t="s">
        <v>51</v>
      </c>
      <c r="H309" s="4" t="s">
        <v>52</v>
      </c>
      <c r="I309" s="4"/>
      <c r="J309" s="4"/>
      <c r="K309" s="4">
        <v>226</v>
      </c>
      <c r="L309" s="4">
        <v>5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281.25</v>
      </c>
      <c r="X309" s="4">
        <v>1</v>
      </c>
      <c r="Y309" s="4">
        <v>281.25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227</v>
      </c>
      <c r="F310" s="4">
        <f>ROUND(Source!AX303,O310)</f>
        <v>0</v>
      </c>
      <c r="G310" s="4" t="s">
        <v>53</v>
      </c>
      <c r="H310" s="4" t="s">
        <v>54</v>
      </c>
      <c r="I310" s="4"/>
      <c r="J310" s="4"/>
      <c r="K310" s="4">
        <v>227</v>
      </c>
      <c r="L310" s="4">
        <v>6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228</v>
      </c>
      <c r="F311" s="4">
        <f>ROUND(Source!AY303,O311)</f>
        <v>281.25</v>
      </c>
      <c r="G311" s="4" t="s">
        <v>55</v>
      </c>
      <c r="H311" s="4" t="s">
        <v>56</v>
      </c>
      <c r="I311" s="4"/>
      <c r="J311" s="4"/>
      <c r="K311" s="4">
        <v>228</v>
      </c>
      <c r="L311" s="4">
        <v>7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281.25</v>
      </c>
      <c r="X311" s="4">
        <v>1</v>
      </c>
      <c r="Y311" s="4">
        <v>281.25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216</v>
      </c>
      <c r="F312" s="4">
        <f>ROUND(Source!AP303,O312)</f>
        <v>0</v>
      </c>
      <c r="G312" s="4" t="s">
        <v>57</v>
      </c>
      <c r="H312" s="4" t="s">
        <v>58</v>
      </c>
      <c r="I312" s="4"/>
      <c r="J312" s="4"/>
      <c r="K312" s="4">
        <v>216</v>
      </c>
      <c r="L312" s="4">
        <v>8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223</v>
      </c>
      <c r="F313" s="4">
        <f>ROUND(Source!AQ303,O313)</f>
        <v>0</v>
      </c>
      <c r="G313" s="4" t="s">
        <v>59</v>
      </c>
      <c r="H313" s="4" t="s">
        <v>60</v>
      </c>
      <c r="I313" s="4"/>
      <c r="J313" s="4"/>
      <c r="K313" s="4">
        <v>223</v>
      </c>
      <c r="L313" s="4">
        <v>9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229</v>
      </c>
      <c r="F314" s="4">
        <f>ROUND(Source!AZ303,O314)</f>
        <v>0</v>
      </c>
      <c r="G314" s="4" t="s">
        <v>61</v>
      </c>
      <c r="H314" s="4" t="s">
        <v>62</v>
      </c>
      <c r="I314" s="4"/>
      <c r="J314" s="4"/>
      <c r="K314" s="4">
        <v>229</v>
      </c>
      <c r="L314" s="4">
        <v>10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203</v>
      </c>
      <c r="F315" s="4">
        <f>ROUND(Source!Q303,O315)</f>
        <v>3773.46</v>
      </c>
      <c r="G315" s="4" t="s">
        <v>63</v>
      </c>
      <c r="H315" s="4" t="s">
        <v>64</v>
      </c>
      <c r="I315" s="4"/>
      <c r="J315" s="4"/>
      <c r="K315" s="4">
        <v>203</v>
      </c>
      <c r="L315" s="4">
        <v>11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3773.46</v>
      </c>
      <c r="X315" s="4">
        <v>1</v>
      </c>
      <c r="Y315" s="4">
        <v>3773.46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231</v>
      </c>
      <c r="F316" s="4">
        <f>ROUND(Source!BB303,O316)</f>
        <v>0</v>
      </c>
      <c r="G316" s="4" t="s">
        <v>65</v>
      </c>
      <c r="H316" s="4" t="s">
        <v>66</v>
      </c>
      <c r="I316" s="4"/>
      <c r="J316" s="4"/>
      <c r="K316" s="4">
        <v>231</v>
      </c>
      <c r="L316" s="4">
        <v>12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204</v>
      </c>
      <c r="F317" s="4">
        <f>ROUND(Source!R303,O317)</f>
        <v>2384.5300000000002</v>
      </c>
      <c r="G317" s="4" t="s">
        <v>67</v>
      </c>
      <c r="H317" s="4" t="s">
        <v>68</v>
      </c>
      <c r="I317" s="4"/>
      <c r="J317" s="4"/>
      <c r="K317" s="4">
        <v>204</v>
      </c>
      <c r="L317" s="4">
        <v>13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2384.5300000000002</v>
      </c>
      <c r="X317" s="4">
        <v>1</v>
      </c>
      <c r="Y317" s="4">
        <v>2384.5300000000002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205</v>
      </c>
      <c r="F318" s="4">
        <f>ROUND(Source!S303,O318)</f>
        <v>28472.75</v>
      </c>
      <c r="G318" s="4" t="s">
        <v>69</v>
      </c>
      <c r="H318" s="4" t="s">
        <v>70</v>
      </c>
      <c r="I318" s="4"/>
      <c r="J318" s="4"/>
      <c r="K318" s="4">
        <v>205</v>
      </c>
      <c r="L318" s="4">
        <v>14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28472.75</v>
      </c>
      <c r="X318" s="4">
        <v>1</v>
      </c>
      <c r="Y318" s="4">
        <v>28472.75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232</v>
      </c>
      <c r="F319" s="4">
        <f>ROUND(Source!BC303,O319)</f>
        <v>0</v>
      </c>
      <c r="G319" s="4" t="s">
        <v>71</v>
      </c>
      <c r="H319" s="4" t="s">
        <v>72</v>
      </c>
      <c r="I319" s="4"/>
      <c r="J319" s="4"/>
      <c r="K319" s="4">
        <v>232</v>
      </c>
      <c r="L319" s="4">
        <v>15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214</v>
      </c>
      <c r="F320" s="4">
        <f>ROUND(Source!AS303,O320)</f>
        <v>0</v>
      </c>
      <c r="G320" s="4" t="s">
        <v>73</v>
      </c>
      <c r="H320" s="4" t="s">
        <v>74</v>
      </c>
      <c r="I320" s="4"/>
      <c r="J320" s="4"/>
      <c r="K320" s="4">
        <v>214</v>
      </c>
      <c r="L320" s="4">
        <v>16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215</v>
      </c>
      <c r="F321" s="4">
        <f>ROUND(Source!AT303,O321)</f>
        <v>0</v>
      </c>
      <c r="G321" s="4" t="s">
        <v>75</v>
      </c>
      <c r="H321" s="4" t="s">
        <v>76</v>
      </c>
      <c r="I321" s="4"/>
      <c r="J321" s="4"/>
      <c r="K321" s="4">
        <v>215</v>
      </c>
      <c r="L321" s="4">
        <v>17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217</v>
      </c>
      <c r="F322" s="4">
        <f>ROUND(Source!AU303,O322)</f>
        <v>57880.95</v>
      </c>
      <c r="G322" s="4" t="s">
        <v>77</v>
      </c>
      <c r="H322" s="4" t="s">
        <v>78</v>
      </c>
      <c r="I322" s="4"/>
      <c r="J322" s="4"/>
      <c r="K322" s="4">
        <v>217</v>
      </c>
      <c r="L322" s="4">
        <v>18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57880.95</v>
      </c>
      <c r="X322" s="4">
        <v>1</v>
      </c>
      <c r="Y322" s="4">
        <v>57880.95</v>
      </c>
      <c r="Z322" s="4"/>
      <c r="AA322" s="4"/>
      <c r="AB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230</v>
      </c>
      <c r="F323" s="4">
        <f>ROUND(Source!BA303,O323)</f>
        <v>0</v>
      </c>
      <c r="G323" s="4" t="s">
        <v>79</v>
      </c>
      <c r="H323" s="4" t="s">
        <v>80</v>
      </c>
      <c r="I323" s="4"/>
      <c r="J323" s="4"/>
      <c r="K323" s="4">
        <v>230</v>
      </c>
      <c r="L323" s="4">
        <v>19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206</v>
      </c>
      <c r="F324" s="4">
        <f>ROUND(Source!T303,O324)</f>
        <v>0</v>
      </c>
      <c r="G324" s="4" t="s">
        <v>81</v>
      </c>
      <c r="H324" s="4" t="s">
        <v>82</v>
      </c>
      <c r="I324" s="4"/>
      <c r="J324" s="4"/>
      <c r="K324" s="4">
        <v>206</v>
      </c>
      <c r="L324" s="4">
        <v>20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207</v>
      </c>
      <c r="F325" s="4">
        <f>Source!U303</f>
        <v>53.359899999999996</v>
      </c>
      <c r="G325" s="4" t="s">
        <v>83</v>
      </c>
      <c r="H325" s="4" t="s">
        <v>84</v>
      </c>
      <c r="I325" s="4"/>
      <c r="J325" s="4"/>
      <c r="K325" s="4">
        <v>207</v>
      </c>
      <c r="L325" s="4">
        <v>21</v>
      </c>
      <c r="M325" s="4">
        <v>3</v>
      </c>
      <c r="N325" s="4" t="s">
        <v>3</v>
      </c>
      <c r="O325" s="4">
        <v>-1</v>
      </c>
      <c r="P325" s="4"/>
      <c r="Q325" s="4"/>
      <c r="R325" s="4"/>
      <c r="S325" s="4"/>
      <c r="T325" s="4"/>
      <c r="U325" s="4"/>
      <c r="V325" s="4"/>
      <c r="W325" s="4">
        <v>53.359899999999996</v>
      </c>
      <c r="X325" s="4">
        <v>1</v>
      </c>
      <c r="Y325" s="4">
        <v>53.359899999999996</v>
      </c>
      <c r="Z325" s="4"/>
      <c r="AA325" s="4"/>
      <c r="AB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208</v>
      </c>
      <c r="F326" s="4">
        <f>Source!V303</f>
        <v>0</v>
      </c>
      <c r="G326" s="4" t="s">
        <v>85</v>
      </c>
      <c r="H326" s="4" t="s">
        <v>86</v>
      </c>
      <c r="I326" s="4"/>
      <c r="J326" s="4"/>
      <c r="K326" s="4">
        <v>208</v>
      </c>
      <c r="L326" s="4">
        <v>22</v>
      </c>
      <c r="M326" s="4">
        <v>3</v>
      </c>
      <c r="N326" s="4" t="s">
        <v>3</v>
      </c>
      <c r="O326" s="4">
        <v>-1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209</v>
      </c>
      <c r="F327" s="4">
        <f>ROUND(Source!W303,O327)</f>
        <v>0</v>
      </c>
      <c r="G327" s="4" t="s">
        <v>87</v>
      </c>
      <c r="H327" s="4" t="s">
        <v>88</v>
      </c>
      <c r="I327" s="4"/>
      <c r="J327" s="4"/>
      <c r="K327" s="4">
        <v>209</v>
      </c>
      <c r="L327" s="4">
        <v>23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233</v>
      </c>
      <c r="F328" s="4">
        <f>ROUND(Source!BD303,O328)</f>
        <v>0</v>
      </c>
      <c r="G328" s="4" t="s">
        <v>89</v>
      </c>
      <c r="H328" s="4" t="s">
        <v>90</v>
      </c>
      <c r="I328" s="4"/>
      <c r="J328" s="4"/>
      <c r="K328" s="4">
        <v>233</v>
      </c>
      <c r="L328" s="4">
        <v>24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210</v>
      </c>
      <c r="F329" s="4">
        <f>ROUND(Source!X303,O329)</f>
        <v>19930.919999999998</v>
      </c>
      <c r="G329" s="4" t="s">
        <v>91</v>
      </c>
      <c r="H329" s="4" t="s">
        <v>92</v>
      </c>
      <c r="I329" s="4"/>
      <c r="J329" s="4"/>
      <c r="K329" s="4">
        <v>210</v>
      </c>
      <c r="L329" s="4">
        <v>25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19930.919999999998</v>
      </c>
      <c r="X329" s="4">
        <v>1</v>
      </c>
      <c r="Y329" s="4">
        <v>19930.919999999998</v>
      </c>
      <c r="Z329" s="4"/>
      <c r="AA329" s="4"/>
      <c r="AB329" s="4"/>
    </row>
    <row r="330" spans="1:206" x14ac:dyDescent="0.2">
      <c r="A330" s="4">
        <v>50</v>
      </c>
      <c r="B330" s="4">
        <v>0</v>
      </c>
      <c r="C330" s="4">
        <v>0</v>
      </c>
      <c r="D330" s="4">
        <v>1</v>
      </c>
      <c r="E330" s="4">
        <v>211</v>
      </c>
      <c r="F330" s="4">
        <f>ROUND(Source!Y303,O330)</f>
        <v>2847.27</v>
      </c>
      <c r="G330" s="4" t="s">
        <v>93</v>
      </c>
      <c r="H330" s="4" t="s">
        <v>94</v>
      </c>
      <c r="I330" s="4"/>
      <c r="J330" s="4"/>
      <c r="K330" s="4">
        <v>211</v>
      </c>
      <c r="L330" s="4">
        <v>26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2847.27</v>
      </c>
      <c r="X330" s="4">
        <v>1</v>
      </c>
      <c r="Y330" s="4">
        <v>2847.27</v>
      </c>
      <c r="Z330" s="4"/>
      <c r="AA330" s="4"/>
      <c r="AB330" s="4"/>
    </row>
    <row r="331" spans="1:206" x14ac:dyDescent="0.2">
      <c r="A331" s="4">
        <v>50</v>
      </c>
      <c r="B331" s="4">
        <v>0</v>
      </c>
      <c r="C331" s="4">
        <v>0</v>
      </c>
      <c r="D331" s="4">
        <v>1</v>
      </c>
      <c r="E331" s="4">
        <v>224</v>
      </c>
      <c r="F331" s="4">
        <f>ROUND(Source!AR303,O331)</f>
        <v>57880.95</v>
      </c>
      <c r="G331" s="4" t="s">
        <v>95</v>
      </c>
      <c r="H331" s="4" t="s">
        <v>96</v>
      </c>
      <c r="I331" s="4"/>
      <c r="J331" s="4"/>
      <c r="K331" s="4">
        <v>224</v>
      </c>
      <c r="L331" s="4">
        <v>27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57880.95</v>
      </c>
      <c r="X331" s="4">
        <v>1</v>
      </c>
      <c r="Y331" s="4">
        <v>57880.95</v>
      </c>
      <c r="Z331" s="4"/>
      <c r="AA331" s="4"/>
      <c r="AB331" s="4"/>
    </row>
    <row r="333" spans="1:206" x14ac:dyDescent="0.2">
      <c r="A333" s="1">
        <v>4</v>
      </c>
      <c r="B333" s="1">
        <v>1</v>
      </c>
      <c r="C333" s="1"/>
      <c r="D333" s="1">
        <f>ROW(A374)</f>
        <v>374</v>
      </c>
      <c r="E333" s="1"/>
      <c r="F333" s="1" t="s">
        <v>12</v>
      </c>
      <c r="G333" s="1" t="s">
        <v>154</v>
      </c>
      <c r="H333" s="1" t="s">
        <v>3</v>
      </c>
      <c r="I333" s="1">
        <v>0</v>
      </c>
      <c r="J333" s="1"/>
      <c r="K333" s="1">
        <v>-1</v>
      </c>
      <c r="L333" s="1"/>
      <c r="M333" s="1" t="s">
        <v>3</v>
      </c>
      <c r="N333" s="1"/>
      <c r="O333" s="1"/>
      <c r="P333" s="1"/>
      <c r="Q333" s="1"/>
      <c r="R333" s="1"/>
      <c r="S333" s="1">
        <v>0</v>
      </c>
      <c r="T333" s="1"/>
      <c r="U333" s="1" t="s">
        <v>3</v>
      </c>
      <c r="V333" s="1">
        <v>0</v>
      </c>
      <c r="W333" s="1"/>
      <c r="X333" s="1"/>
      <c r="Y333" s="1"/>
      <c r="Z333" s="1"/>
      <c r="AA333" s="1"/>
      <c r="AB333" s="1" t="s">
        <v>3</v>
      </c>
      <c r="AC333" s="1" t="s">
        <v>3</v>
      </c>
      <c r="AD333" s="1" t="s">
        <v>3</v>
      </c>
      <c r="AE333" s="1" t="s">
        <v>3</v>
      </c>
      <c r="AF333" s="1" t="s">
        <v>3</v>
      </c>
      <c r="AG333" s="1" t="s">
        <v>3</v>
      </c>
      <c r="AH333" s="1"/>
      <c r="AI333" s="1"/>
      <c r="AJ333" s="1"/>
      <c r="AK333" s="1"/>
      <c r="AL333" s="1"/>
      <c r="AM333" s="1"/>
      <c r="AN333" s="1"/>
      <c r="AO333" s="1"/>
      <c r="AP333" s="1" t="s">
        <v>3</v>
      </c>
      <c r="AQ333" s="1" t="s">
        <v>3</v>
      </c>
      <c r="AR333" s="1" t="s">
        <v>3</v>
      </c>
      <c r="AS333" s="1"/>
      <c r="AT333" s="1"/>
      <c r="AU333" s="1"/>
      <c r="AV333" s="1"/>
      <c r="AW333" s="1"/>
      <c r="AX333" s="1"/>
      <c r="AY333" s="1"/>
      <c r="AZ333" s="1" t="s">
        <v>3</v>
      </c>
      <c r="BA333" s="1"/>
      <c r="BB333" s="1" t="s">
        <v>3</v>
      </c>
      <c r="BC333" s="1" t="s">
        <v>3</v>
      </c>
      <c r="BD333" s="1" t="s">
        <v>3</v>
      </c>
      <c r="BE333" s="1" t="s">
        <v>3</v>
      </c>
      <c r="BF333" s="1" t="s">
        <v>3</v>
      </c>
      <c r="BG333" s="1" t="s">
        <v>3</v>
      </c>
      <c r="BH333" s="1" t="s">
        <v>3</v>
      </c>
      <c r="BI333" s="1" t="s">
        <v>3</v>
      </c>
      <c r="BJ333" s="1" t="s">
        <v>3</v>
      </c>
      <c r="BK333" s="1" t="s">
        <v>3</v>
      </c>
      <c r="BL333" s="1" t="s">
        <v>3</v>
      </c>
      <c r="BM333" s="1" t="s">
        <v>3</v>
      </c>
      <c r="BN333" s="1" t="s">
        <v>3</v>
      </c>
      <c r="BO333" s="1" t="s">
        <v>3</v>
      </c>
      <c r="BP333" s="1" t="s">
        <v>3</v>
      </c>
      <c r="BQ333" s="1"/>
      <c r="BR333" s="1"/>
      <c r="BS333" s="1"/>
      <c r="BT333" s="1"/>
      <c r="BU333" s="1"/>
      <c r="BV333" s="1"/>
      <c r="BW333" s="1"/>
      <c r="BX333" s="1">
        <v>0</v>
      </c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>
        <v>0</v>
      </c>
    </row>
    <row r="335" spans="1:206" x14ac:dyDescent="0.2">
      <c r="A335" s="2">
        <v>52</v>
      </c>
      <c r="B335" s="2">
        <f t="shared" ref="B335:G335" si="164">B374</f>
        <v>1</v>
      </c>
      <c r="C335" s="2">
        <f t="shared" si="164"/>
        <v>4</v>
      </c>
      <c r="D335" s="2">
        <f t="shared" si="164"/>
        <v>333</v>
      </c>
      <c r="E335" s="2">
        <f t="shared" si="164"/>
        <v>0</v>
      </c>
      <c r="F335" s="2" t="str">
        <f t="shared" si="164"/>
        <v>Новый раздел</v>
      </c>
      <c r="G335" s="2" t="str">
        <f t="shared" si="164"/>
        <v>Внутренние сети отопления</v>
      </c>
      <c r="H335" s="2"/>
      <c r="I335" s="2"/>
      <c r="J335" s="2"/>
      <c r="K335" s="2"/>
      <c r="L335" s="2"/>
      <c r="M335" s="2"/>
      <c r="N335" s="2"/>
      <c r="O335" s="2">
        <f t="shared" ref="O335:AT335" si="165">O374</f>
        <v>2310.88</v>
      </c>
      <c r="P335" s="2">
        <f t="shared" si="165"/>
        <v>57.2</v>
      </c>
      <c r="Q335" s="2">
        <f t="shared" si="165"/>
        <v>5.98</v>
      </c>
      <c r="R335" s="2">
        <f t="shared" si="165"/>
        <v>0</v>
      </c>
      <c r="S335" s="2">
        <f t="shared" si="165"/>
        <v>2247.6999999999998</v>
      </c>
      <c r="T335" s="2">
        <f t="shared" si="165"/>
        <v>0</v>
      </c>
      <c r="U335" s="2">
        <f t="shared" si="165"/>
        <v>3.6400000000000006</v>
      </c>
      <c r="V335" s="2">
        <f t="shared" si="165"/>
        <v>0</v>
      </c>
      <c r="W335" s="2">
        <f t="shared" si="165"/>
        <v>0</v>
      </c>
      <c r="X335" s="2">
        <f t="shared" si="165"/>
        <v>1573.39</v>
      </c>
      <c r="Y335" s="2">
        <f t="shared" si="165"/>
        <v>224.77</v>
      </c>
      <c r="Z335" s="2">
        <f t="shared" si="165"/>
        <v>0</v>
      </c>
      <c r="AA335" s="2">
        <f t="shared" si="165"/>
        <v>0</v>
      </c>
      <c r="AB335" s="2">
        <f t="shared" si="165"/>
        <v>0</v>
      </c>
      <c r="AC335" s="2">
        <f t="shared" si="165"/>
        <v>0</v>
      </c>
      <c r="AD335" s="2">
        <f t="shared" si="165"/>
        <v>0</v>
      </c>
      <c r="AE335" s="2">
        <f t="shared" si="165"/>
        <v>0</v>
      </c>
      <c r="AF335" s="2">
        <f t="shared" si="165"/>
        <v>0</v>
      </c>
      <c r="AG335" s="2">
        <f t="shared" si="165"/>
        <v>0</v>
      </c>
      <c r="AH335" s="2">
        <f t="shared" si="165"/>
        <v>0</v>
      </c>
      <c r="AI335" s="2">
        <f t="shared" si="165"/>
        <v>0</v>
      </c>
      <c r="AJ335" s="2">
        <f t="shared" si="165"/>
        <v>0</v>
      </c>
      <c r="AK335" s="2">
        <f t="shared" si="165"/>
        <v>0</v>
      </c>
      <c r="AL335" s="2">
        <f t="shared" si="165"/>
        <v>0</v>
      </c>
      <c r="AM335" s="2">
        <f t="shared" si="165"/>
        <v>0</v>
      </c>
      <c r="AN335" s="2">
        <f t="shared" si="165"/>
        <v>0</v>
      </c>
      <c r="AO335" s="2">
        <f t="shared" si="165"/>
        <v>0</v>
      </c>
      <c r="AP335" s="2">
        <f t="shared" si="165"/>
        <v>0</v>
      </c>
      <c r="AQ335" s="2">
        <f t="shared" si="165"/>
        <v>0</v>
      </c>
      <c r="AR335" s="2">
        <f t="shared" si="165"/>
        <v>4109.04</v>
      </c>
      <c r="AS335" s="2">
        <f t="shared" si="165"/>
        <v>0</v>
      </c>
      <c r="AT335" s="2">
        <f t="shared" si="165"/>
        <v>0</v>
      </c>
      <c r="AU335" s="2">
        <f t="shared" ref="AU335:BZ335" si="166">AU374</f>
        <v>4109.04</v>
      </c>
      <c r="AV335" s="2">
        <f t="shared" si="166"/>
        <v>57.2</v>
      </c>
      <c r="AW335" s="2">
        <f t="shared" si="166"/>
        <v>57.2</v>
      </c>
      <c r="AX335" s="2">
        <f t="shared" si="166"/>
        <v>0</v>
      </c>
      <c r="AY335" s="2">
        <f t="shared" si="166"/>
        <v>57.2</v>
      </c>
      <c r="AZ335" s="2">
        <f t="shared" si="166"/>
        <v>0</v>
      </c>
      <c r="BA335" s="2">
        <f t="shared" si="166"/>
        <v>0</v>
      </c>
      <c r="BB335" s="2">
        <f t="shared" si="166"/>
        <v>0</v>
      </c>
      <c r="BC335" s="2">
        <f t="shared" si="166"/>
        <v>0</v>
      </c>
      <c r="BD335" s="2">
        <f t="shared" si="166"/>
        <v>0</v>
      </c>
      <c r="BE335" s="2">
        <f t="shared" si="166"/>
        <v>0</v>
      </c>
      <c r="BF335" s="2">
        <f t="shared" si="166"/>
        <v>0</v>
      </c>
      <c r="BG335" s="2">
        <f t="shared" si="166"/>
        <v>0</v>
      </c>
      <c r="BH335" s="2">
        <f t="shared" si="166"/>
        <v>0</v>
      </c>
      <c r="BI335" s="2">
        <f t="shared" si="166"/>
        <v>0</v>
      </c>
      <c r="BJ335" s="2">
        <f t="shared" si="166"/>
        <v>0</v>
      </c>
      <c r="BK335" s="2">
        <f t="shared" si="166"/>
        <v>0</v>
      </c>
      <c r="BL335" s="2">
        <f t="shared" si="166"/>
        <v>0</v>
      </c>
      <c r="BM335" s="2">
        <f t="shared" si="166"/>
        <v>0</v>
      </c>
      <c r="BN335" s="2">
        <f t="shared" si="166"/>
        <v>0</v>
      </c>
      <c r="BO335" s="2">
        <f t="shared" si="166"/>
        <v>0</v>
      </c>
      <c r="BP335" s="2">
        <f t="shared" si="166"/>
        <v>0</v>
      </c>
      <c r="BQ335" s="2">
        <f t="shared" si="166"/>
        <v>0</v>
      </c>
      <c r="BR335" s="2">
        <f t="shared" si="166"/>
        <v>0</v>
      </c>
      <c r="BS335" s="2">
        <f t="shared" si="166"/>
        <v>0</v>
      </c>
      <c r="BT335" s="2">
        <f t="shared" si="166"/>
        <v>0</v>
      </c>
      <c r="BU335" s="2">
        <f t="shared" si="166"/>
        <v>0</v>
      </c>
      <c r="BV335" s="2">
        <f t="shared" si="166"/>
        <v>0</v>
      </c>
      <c r="BW335" s="2">
        <f t="shared" si="166"/>
        <v>0</v>
      </c>
      <c r="BX335" s="2">
        <f t="shared" si="166"/>
        <v>0</v>
      </c>
      <c r="BY335" s="2">
        <f t="shared" si="166"/>
        <v>0</v>
      </c>
      <c r="BZ335" s="2">
        <f t="shared" si="166"/>
        <v>0</v>
      </c>
      <c r="CA335" s="2">
        <f t="shared" ref="CA335:DF335" si="167">CA374</f>
        <v>0</v>
      </c>
      <c r="CB335" s="2">
        <f t="shared" si="167"/>
        <v>0</v>
      </c>
      <c r="CC335" s="2">
        <f t="shared" si="167"/>
        <v>0</v>
      </c>
      <c r="CD335" s="2">
        <f t="shared" si="167"/>
        <v>0</v>
      </c>
      <c r="CE335" s="2">
        <f t="shared" si="167"/>
        <v>0</v>
      </c>
      <c r="CF335" s="2">
        <f t="shared" si="167"/>
        <v>0</v>
      </c>
      <c r="CG335" s="2">
        <f t="shared" si="167"/>
        <v>0</v>
      </c>
      <c r="CH335" s="2">
        <f t="shared" si="167"/>
        <v>0</v>
      </c>
      <c r="CI335" s="2">
        <f t="shared" si="167"/>
        <v>0</v>
      </c>
      <c r="CJ335" s="2">
        <f t="shared" si="167"/>
        <v>0</v>
      </c>
      <c r="CK335" s="2">
        <f t="shared" si="167"/>
        <v>0</v>
      </c>
      <c r="CL335" s="2">
        <f t="shared" si="167"/>
        <v>0</v>
      </c>
      <c r="CM335" s="2">
        <f t="shared" si="167"/>
        <v>0</v>
      </c>
      <c r="CN335" s="2">
        <f t="shared" si="167"/>
        <v>0</v>
      </c>
      <c r="CO335" s="2">
        <f t="shared" si="167"/>
        <v>0</v>
      </c>
      <c r="CP335" s="2">
        <f t="shared" si="167"/>
        <v>0</v>
      </c>
      <c r="CQ335" s="2">
        <f t="shared" si="167"/>
        <v>0</v>
      </c>
      <c r="CR335" s="2">
        <f t="shared" si="167"/>
        <v>0</v>
      </c>
      <c r="CS335" s="2">
        <f t="shared" si="167"/>
        <v>0</v>
      </c>
      <c r="CT335" s="2">
        <f t="shared" si="167"/>
        <v>0</v>
      </c>
      <c r="CU335" s="2">
        <f t="shared" si="167"/>
        <v>0</v>
      </c>
      <c r="CV335" s="2">
        <f t="shared" si="167"/>
        <v>0</v>
      </c>
      <c r="CW335" s="2">
        <f t="shared" si="167"/>
        <v>0</v>
      </c>
      <c r="CX335" s="2">
        <f t="shared" si="167"/>
        <v>0</v>
      </c>
      <c r="CY335" s="2">
        <f t="shared" si="167"/>
        <v>0</v>
      </c>
      <c r="CZ335" s="2">
        <f t="shared" si="167"/>
        <v>0</v>
      </c>
      <c r="DA335" s="2">
        <f t="shared" si="167"/>
        <v>0</v>
      </c>
      <c r="DB335" s="2">
        <f t="shared" si="167"/>
        <v>0</v>
      </c>
      <c r="DC335" s="2">
        <f t="shared" si="167"/>
        <v>0</v>
      </c>
      <c r="DD335" s="2">
        <f t="shared" si="167"/>
        <v>0</v>
      </c>
      <c r="DE335" s="2">
        <f t="shared" si="167"/>
        <v>0</v>
      </c>
      <c r="DF335" s="2">
        <f t="shared" si="167"/>
        <v>0</v>
      </c>
      <c r="DG335" s="3">
        <f t="shared" ref="DG335:EL335" si="168">DG374</f>
        <v>0</v>
      </c>
      <c r="DH335" s="3">
        <f t="shared" si="168"/>
        <v>0</v>
      </c>
      <c r="DI335" s="3">
        <f t="shared" si="168"/>
        <v>0</v>
      </c>
      <c r="DJ335" s="3">
        <f t="shared" si="168"/>
        <v>0</v>
      </c>
      <c r="DK335" s="3">
        <f t="shared" si="168"/>
        <v>0</v>
      </c>
      <c r="DL335" s="3">
        <f t="shared" si="168"/>
        <v>0</v>
      </c>
      <c r="DM335" s="3">
        <f t="shared" si="168"/>
        <v>0</v>
      </c>
      <c r="DN335" s="3">
        <f t="shared" si="168"/>
        <v>0</v>
      </c>
      <c r="DO335" s="3">
        <f t="shared" si="168"/>
        <v>0</v>
      </c>
      <c r="DP335" s="3">
        <f t="shared" si="168"/>
        <v>0</v>
      </c>
      <c r="DQ335" s="3">
        <f t="shared" si="168"/>
        <v>0</v>
      </c>
      <c r="DR335" s="3">
        <f t="shared" si="168"/>
        <v>0</v>
      </c>
      <c r="DS335" s="3">
        <f t="shared" si="168"/>
        <v>0</v>
      </c>
      <c r="DT335" s="3">
        <f t="shared" si="168"/>
        <v>0</v>
      </c>
      <c r="DU335" s="3">
        <f t="shared" si="168"/>
        <v>0</v>
      </c>
      <c r="DV335" s="3">
        <f t="shared" si="168"/>
        <v>0</v>
      </c>
      <c r="DW335" s="3">
        <f t="shared" si="168"/>
        <v>0</v>
      </c>
      <c r="DX335" s="3">
        <f t="shared" si="168"/>
        <v>0</v>
      </c>
      <c r="DY335" s="3">
        <f t="shared" si="168"/>
        <v>0</v>
      </c>
      <c r="DZ335" s="3">
        <f t="shared" si="168"/>
        <v>0</v>
      </c>
      <c r="EA335" s="3">
        <f t="shared" si="168"/>
        <v>0</v>
      </c>
      <c r="EB335" s="3">
        <f t="shared" si="168"/>
        <v>0</v>
      </c>
      <c r="EC335" s="3">
        <f t="shared" si="168"/>
        <v>0</v>
      </c>
      <c r="ED335" s="3">
        <f t="shared" si="168"/>
        <v>0</v>
      </c>
      <c r="EE335" s="3">
        <f t="shared" si="168"/>
        <v>0</v>
      </c>
      <c r="EF335" s="3">
        <f t="shared" si="168"/>
        <v>0</v>
      </c>
      <c r="EG335" s="3">
        <f t="shared" si="168"/>
        <v>0</v>
      </c>
      <c r="EH335" s="3">
        <f t="shared" si="168"/>
        <v>0</v>
      </c>
      <c r="EI335" s="3">
        <f t="shared" si="168"/>
        <v>0</v>
      </c>
      <c r="EJ335" s="3">
        <f t="shared" si="168"/>
        <v>0</v>
      </c>
      <c r="EK335" s="3">
        <f t="shared" si="168"/>
        <v>0</v>
      </c>
      <c r="EL335" s="3">
        <f t="shared" si="168"/>
        <v>0</v>
      </c>
      <c r="EM335" s="3">
        <f t="shared" ref="EM335:FR335" si="169">EM374</f>
        <v>0</v>
      </c>
      <c r="EN335" s="3">
        <f t="shared" si="169"/>
        <v>0</v>
      </c>
      <c r="EO335" s="3">
        <f t="shared" si="169"/>
        <v>0</v>
      </c>
      <c r="EP335" s="3">
        <f t="shared" si="169"/>
        <v>0</v>
      </c>
      <c r="EQ335" s="3">
        <f t="shared" si="169"/>
        <v>0</v>
      </c>
      <c r="ER335" s="3">
        <f t="shared" si="169"/>
        <v>0</v>
      </c>
      <c r="ES335" s="3">
        <f t="shared" si="169"/>
        <v>0</v>
      </c>
      <c r="ET335" s="3">
        <f t="shared" si="169"/>
        <v>0</v>
      </c>
      <c r="EU335" s="3">
        <f t="shared" si="169"/>
        <v>0</v>
      </c>
      <c r="EV335" s="3">
        <f t="shared" si="169"/>
        <v>0</v>
      </c>
      <c r="EW335" s="3">
        <f t="shared" si="169"/>
        <v>0</v>
      </c>
      <c r="EX335" s="3">
        <f t="shared" si="169"/>
        <v>0</v>
      </c>
      <c r="EY335" s="3">
        <f t="shared" si="169"/>
        <v>0</v>
      </c>
      <c r="EZ335" s="3">
        <f t="shared" si="169"/>
        <v>0</v>
      </c>
      <c r="FA335" s="3">
        <f t="shared" si="169"/>
        <v>0</v>
      </c>
      <c r="FB335" s="3">
        <f t="shared" si="169"/>
        <v>0</v>
      </c>
      <c r="FC335" s="3">
        <f t="shared" si="169"/>
        <v>0</v>
      </c>
      <c r="FD335" s="3">
        <f t="shared" si="169"/>
        <v>0</v>
      </c>
      <c r="FE335" s="3">
        <f t="shared" si="169"/>
        <v>0</v>
      </c>
      <c r="FF335" s="3">
        <f t="shared" si="169"/>
        <v>0</v>
      </c>
      <c r="FG335" s="3">
        <f t="shared" si="169"/>
        <v>0</v>
      </c>
      <c r="FH335" s="3">
        <f t="shared" si="169"/>
        <v>0</v>
      </c>
      <c r="FI335" s="3">
        <f t="shared" si="169"/>
        <v>0</v>
      </c>
      <c r="FJ335" s="3">
        <f t="shared" si="169"/>
        <v>0</v>
      </c>
      <c r="FK335" s="3">
        <f t="shared" si="169"/>
        <v>0</v>
      </c>
      <c r="FL335" s="3">
        <f t="shared" si="169"/>
        <v>0</v>
      </c>
      <c r="FM335" s="3">
        <f t="shared" si="169"/>
        <v>0</v>
      </c>
      <c r="FN335" s="3">
        <f t="shared" si="169"/>
        <v>0</v>
      </c>
      <c r="FO335" s="3">
        <f t="shared" si="169"/>
        <v>0</v>
      </c>
      <c r="FP335" s="3">
        <f t="shared" si="169"/>
        <v>0</v>
      </c>
      <c r="FQ335" s="3">
        <f t="shared" si="169"/>
        <v>0</v>
      </c>
      <c r="FR335" s="3">
        <f t="shared" si="169"/>
        <v>0</v>
      </c>
      <c r="FS335" s="3">
        <f t="shared" ref="FS335:GX335" si="170">FS374</f>
        <v>0</v>
      </c>
      <c r="FT335" s="3">
        <f t="shared" si="170"/>
        <v>0</v>
      </c>
      <c r="FU335" s="3">
        <f t="shared" si="170"/>
        <v>0</v>
      </c>
      <c r="FV335" s="3">
        <f t="shared" si="170"/>
        <v>0</v>
      </c>
      <c r="FW335" s="3">
        <f t="shared" si="170"/>
        <v>0</v>
      </c>
      <c r="FX335" s="3">
        <f t="shared" si="170"/>
        <v>0</v>
      </c>
      <c r="FY335" s="3">
        <f t="shared" si="170"/>
        <v>0</v>
      </c>
      <c r="FZ335" s="3">
        <f t="shared" si="170"/>
        <v>0</v>
      </c>
      <c r="GA335" s="3">
        <f t="shared" si="170"/>
        <v>0</v>
      </c>
      <c r="GB335" s="3">
        <f t="shared" si="170"/>
        <v>0</v>
      </c>
      <c r="GC335" s="3">
        <f t="shared" si="170"/>
        <v>0</v>
      </c>
      <c r="GD335" s="3">
        <f t="shared" si="170"/>
        <v>0</v>
      </c>
      <c r="GE335" s="3">
        <f t="shared" si="170"/>
        <v>0</v>
      </c>
      <c r="GF335" s="3">
        <f t="shared" si="170"/>
        <v>0</v>
      </c>
      <c r="GG335" s="3">
        <f t="shared" si="170"/>
        <v>0</v>
      </c>
      <c r="GH335" s="3">
        <f t="shared" si="170"/>
        <v>0</v>
      </c>
      <c r="GI335" s="3">
        <f t="shared" si="170"/>
        <v>0</v>
      </c>
      <c r="GJ335" s="3">
        <f t="shared" si="170"/>
        <v>0</v>
      </c>
      <c r="GK335" s="3">
        <f t="shared" si="170"/>
        <v>0</v>
      </c>
      <c r="GL335" s="3">
        <f t="shared" si="170"/>
        <v>0</v>
      </c>
      <c r="GM335" s="3">
        <f t="shared" si="170"/>
        <v>0</v>
      </c>
      <c r="GN335" s="3">
        <f t="shared" si="170"/>
        <v>0</v>
      </c>
      <c r="GO335" s="3">
        <f t="shared" si="170"/>
        <v>0</v>
      </c>
      <c r="GP335" s="3">
        <f t="shared" si="170"/>
        <v>0</v>
      </c>
      <c r="GQ335" s="3">
        <f t="shared" si="170"/>
        <v>0</v>
      </c>
      <c r="GR335" s="3">
        <f t="shared" si="170"/>
        <v>0</v>
      </c>
      <c r="GS335" s="3">
        <f t="shared" si="170"/>
        <v>0</v>
      </c>
      <c r="GT335" s="3">
        <f t="shared" si="170"/>
        <v>0</v>
      </c>
      <c r="GU335" s="3">
        <f t="shared" si="170"/>
        <v>0</v>
      </c>
      <c r="GV335" s="3">
        <f t="shared" si="170"/>
        <v>0</v>
      </c>
      <c r="GW335" s="3">
        <f t="shared" si="170"/>
        <v>0</v>
      </c>
      <c r="GX335" s="3">
        <f t="shared" si="170"/>
        <v>0</v>
      </c>
    </row>
    <row r="337" spans="1:245" x14ac:dyDescent="0.2">
      <c r="A337" s="1">
        <v>5</v>
      </c>
      <c r="B337" s="1">
        <v>1</v>
      </c>
      <c r="C337" s="1"/>
      <c r="D337" s="1">
        <f>ROW(A344)</f>
        <v>344</v>
      </c>
      <c r="E337" s="1"/>
      <c r="F337" s="1" t="s">
        <v>14</v>
      </c>
      <c r="G337" s="1" t="s">
        <v>155</v>
      </c>
      <c r="H337" s="1" t="s">
        <v>3</v>
      </c>
      <c r="I337" s="1">
        <v>0</v>
      </c>
      <c r="J337" s="1"/>
      <c r="K337" s="1">
        <v>-1</v>
      </c>
      <c r="L337" s="1"/>
      <c r="M337" s="1" t="s">
        <v>3</v>
      </c>
      <c r="N337" s="1"/>
      <c r="O337" s="1"/>
      <c r="P337" s="1"/>
      <c r="Q337" s="1"/>
      <c r="R337" s="1"/>
      <c r="S337" s="1">
        <v>0</v>
      </c>
      <c r="T337" s="1"/>
      <c r="U337" s="1" t="s">
        <v>3</v>
      </c>
      <c r="V337" s="1">
        <v>0</v>
      </c>
      <c r="W337" s="1"/>
      <c r="X337" s="1"/>
      <c r="Y337" s="1"/>
      <c r="Z337" s="1"/>
      <c r="AA337" s="1"/>
      <c r="AB337" s="1" t="s">
        <v>3</v>
      </c>
      <c r="AC337" s="1" t="s">
        <v>3</v>
      </c>
      <c r="AD337" s="1" t="s">
        <v>3</v>
      </c>
      <c r="AE337" s="1" t="s">
        <v>3</v>
      </c>
      <c r="AF337" s="1" t="s">
        <v>3</v>
      </c>
      <c r="AG337" s="1" t="s">
        <v>3</v>
      </c>
      <c r="AH337" s="1"/>
      <c r="AI337" s="1"/>
      <c r="AJ337" s="1"/>
      <c r="AK337" s="1"/>
      <c r="AL337" s="1"/>
      <c r="AM337" s="1"/>
      <c r="AN337" s="1"/>
      <c r="AO337" s="1"/>
      <c r="AP337" s="1" t="s">
        <v>3</v>
      </c>
      <c r="AQ337" s="1" t="s">
        <v>3</v>
      </c>
      <c r="AR337" s="1" t="s">
        <v>3</v>
      </c>
      <c r="AS337" s="1"/>
      <c r="AT337" s="1"/>
      <c r="AU337" s="1"/>
      <c r="AV337" s="1"/>
      <c r="AW337" s="1"/>
      <c r="AX337" s="1"/>
      <c r="AY337" s="1"/>
      <c r="AZ337" s="1" t="s">
        <v>3</v>
      </c>
      <c r="BA337" s="1"/>
      <c r="BB337" s="1" t="s">
        <v>3</v>
      </c>
      <c r="BC337" s="1" t="s">
        <v>3</v>
      </c>
      <c r="BD337" s="1" t="s">
        <v>3</v>
      </c>
      <c r="BE337" s="1" t="s">
        <v>3</v>
      </c>
      <c r="BF337" s="1" t="s">
        <v>3</v>
      </c>
      <c r="BG337" s="1" t="s">
        <v>3</v>
      </c>
      <c r="BH337" s="1" t="s">
        <v>3</v>
      </c>
      <c r="BI337" s="1" t="s">
        <v>3</v>
      </c>
      <c r="BJ337" s="1" t="s">
        <v>3</v>
      </c>
      <c r="BK337" s="1" t="s">
        <v>3</v>
      </c>
      <c r="BL337" s="1" t="s">
        <v>3</v>
      </c>
      <c r="BM337" s="1" t="s">
        <v>3</v>
      </c>
      <c r="BN337" s="1" t="s">
        <v>3</v>
      </c>
      <c r="BO337" s="1" t="s">
        <v>3</v>
      </c>
      <c r="BP337" s="1" t="s">
        <v>3</v>
      </c>
      <c r="BQ337" s="1"/>
      <c r="BR337" s="1"/>
      <c r="BS337" s="1"/>
      <c r="BT337" s="1"/>
      <c r="BU337" s="1"/>
      <c r="BV337" s="1"/>
      <c r="BW337" s="1"/>
      <c r="BX337" s="1">
        <v>0</v>
      </c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>
        <v>0</v>
      </c>
    </row>
    <row r="339" spans="1:245" x14ac:dyDescent="0.2">
      <c r="A339" s="2">
        <v>52</v>
      </c>
      <c r="B339" s="2">
        <f t="shared" ref="B339:G339" si="171">B344</f>
        <v>1</v>
      </c>
      <c r="C339" s="2">
        <f t="shared" si="171"/>
        <v>5</v>
      </c>
      <c r="D339" s="2">
        <f t="shared" si="171"/>
        <v>337</v>
      </c>
      <c r="E339" s="2">
        <f t="shared" si="171"/>
        <v>0</v>
      </c>
      <c r="F339" s="2" t="str">
        <f t="shared" si="171"/>
        <v>Новый подраздел</v>
      </c>
      <c r="G339" s="2" t="str">
        <f t="shared" si="171"/>
        <v>Отопление</v>
      </c>
      <c r="H339" s="2"/>
      <c r="I339" s="2"/>
      <c r="J339" s="2"/>
      <c r="K339" s="2"/>
      <c r="L339" s="2"/>
      <c r="M339" s="2"/>
      <c r="N339" s="2"/>
      <c r="O339" s="2">
        <f t="shared" ref="O339:AT339" si="172">O344</f>
        <v>2310.88</v>
      </c>
      <c r="P339" s="2">
        <f t="shared" si="172"/>
        <v>57.2</v>
      </c>
      <c r="Q339" s="2">
        <f t="shared" si="172"/>
        <v>5.98</v>
      </c>
      <c r="R339" s="2">
        <f t="shared" si="172"/>
        <v>0</v>
      </c>
      <c r="S339" s="2">
        <f t="shared" si="172"/>
        <v>2247.6999999999998</v>
      </c>
      <c r="T339" s="2">
        <f t="shared" si="172"/>
        <v>0</v>
      </c>
      <c r="U339" s="2">
        <f t="shared" si="172"/>
        <v>3.6400000000000006</v>
      </c>
      <c r="V339" s="2">
        <f t="shared" si="172"/>
        <v>0</v>
      </c>
      <c r="W339" s="2">
        <f t="shared" si="172"/>
        <v>0</v>
      </c>
      <c r="X339" s="2">
        <f t="shared" si="172"/>
        <v>1573.39</v>
      </c>
      <c r="Y339" s="2">
        <f t="shared" si="172"/>
        <v>224.77</v>
      </c>
      <c r="Z339" s="2">
        <f t="shared" si="172"/>
        <v>0</v>
      </c>
      <c r="AA339" s="2">
        <f t="shared" si="172"/>
        <v>0</v>
      </c>
      <c r="AB339" s="2">
        <f t="shared" si="172"/>
        <v>2310.88</v>
      </c>
      <c r="AC339" s="2">
        <f t="shared" si="172"/>
        <v>57.2</v>
      </c>
      <c r="AD339" s="2">
        <f t="shared" si="172"/>
        <v>5.98</v>
      </c>
      <c r="AE339" s="2">
        <f t="shared" si="172"/>
        <v>0</v>
      </c>
      <c r="AF339" s="2">
        <f t="shared" si="172"/>
        <v>2247.6999999999998</v>
      </c>
      <c r="AG339" s="2">
        <f t="shared" si="172"/>
        <v>0</v>
      </c>
      <c r="AH339" s="2">
        <f t="shared" si="172"/>
        <v>3.6400000000000006</v>
      </c>
      <c r="AI339" s="2">
        <f t="shared" si="172"/>
        <v>0</v>
      </c>
      <c r="AJ339" s="2">
        <f t="shared" si="172"/>
        <v>0</v>
      </c>
      <c r="AK339" s="2">
        <f t="shared" si="172"/>
        <v>1573.39</v>
      </c>
      <c r="AL339" s="2">
        <f t="shared" si="172"/>
        <v>224.77</v>
      </c>
      <c r="AM339" s="2">
        <f t="shared" si="172"/>
        <v>0</v>
      </c>
      <c r="AN339" s="2">
        <f t="shared" si="172"/>
        <v>0</v>
      </c>
      <c r="AO339" s="2">
        <f t="shared" si="172"/>
        <v>0</v>
      </c>
      <c r="AP339" s="2">
        <f t="shared" si="172"/>
        <v>0</v>
      </c>
      <c r="AQ339" s="2">
        <f t="shared" si="172"/>
        <v>0</v>
      </c>
      <c r="AR339" s="2">
        <f t="shared" si="172"/>
        <v>4109.04</v>
      </c>
      <c r="AS339" s="2">
        <f t="shared" si="172"/>
        <v>0</v>
      </c>
      <c r="AT339" s="2">
        <f t="shared" si="172"/>
        <v>0</v>
      </c>
      <c r="AU339" s="2">
        <f t="shared" ref="AU339:BZ339" si="173">AU344</f>
        <v>4109.04</v>
      </c>
      <c r="AV339" s="2">
        <f t="shared" si="173"/>
        <v>57.2</v>
      </c>
      <c r="AW339" s="2">
        <f t="shared" si="173"/>
        <v>57.2</v>
      </c>
      <c r="AX339" s="2">
        <f t="shared" si="173"/>
        <v>0</v>
      </c>
      <c r="AY339" s="2">
        <f t="shared" si="173"/>
        <v>57.2</v>
      </c>
      <c r="AZ339" s="2">
        <f t="shared" si="173"/>
        <v>0</v>
      </c>
      <c r="BA339" s="2">
        <f t="shared" si="173"/>
        <v>0</v>
      </c>
      <c r="BB339" s="2">
        <f t="shared" si="173"/>
        <v>0</v>
      </c>
      <c r="BC339" s="2">
        <f t="shared" si="173"/>
        <v>0</v>
      </c>
      <c r="BD339" s="2">
        <f t="shared" si="173"/>
        <v>0</v>
      </c>
      <c r="BE339" s="2">
        <f t="shared" si="173"/>
        <v>0</v>
      </c>
      <c r="BF339" s="2">
        <f t="shared" si="173"/>
        <v>0</v>
      </c>
      <c r="BG339" s="2">
        <f t="shared" si="173"/>
        <v>0</v>
      </c>
      <c r="BH339" s="2">
        <f t="shared" si="173"/>
        <v>0</v>
      </c>
      <c r="BI339" s="2">
        <f t="shared" si="173"/>
        <v>0</v>
      </c>
      <c r="BJ339" s="2">
        <f t="shared" si="173"/>
        <v>0</v>
      </c>
      <c r="BK339" s="2">
        <f t="shared" si="173"/>
        <v>0</v>
      </c>
      <c r="BL339" s="2">
        <f t="shared" si="173"/>
        <v>0</v>
      </c>
      <c r="BM339" s="2">
        <f t="shared" si="173"/>
        <v>0</v>
      </c>
      <c r="BN339" s="2">
        <f t="shared" si="173"/>
        <v>0</v>
      </c>
      <c r="BO339" s="2">
        <f t="shared" si="173"/>
        <v>0</v>
      </c>
      <c r="BP339" s="2">
        <f t="shared" si="173"/>
        <v>0</v>
      </c>
      <c r="BQ339" s="2">
        <f t="shared" si="173"/>
        <v>0</v>
      </c>
      <c r="BR339" s="2">
        <f t="shared" si="173"/>
        <v>0</v>
      </c>
      <c r="BS339" s="2">
        <f t="shared" si="173"/>
        <v>0</v>
      </c>
      <c r="BT339" s="2">
        <f t="shared" si="173"/>
        <v>0</v>
      </c>
      <c r="BU339" s="2">
        <f t="shared" si="173"/>
        <v>0</v>
      </c>
      <c r="BV339" s="2">
        <f t="shared" si="173"/>
        <v>0</v>
      </c>
      <c r="BW339" s="2">
        <f t="shared" si="173"/>
        <v>0</v>
      </c>
      <c r="BX339" s="2">
        <f t="shared" si="173"/>
        <v>0</v>
      </c>
      <c r="BY339" s="2">
        <f t="shared" si="173"/>
        <v>0</v>
      </c>
      <c r="BZ339" s="2">
        <f t="shared" si="173"/>
        <v>0</v>
      </c>
      <c r="CA339" s="2">
        <f t="shared" ref="CA339:DF339" si="174">CA344</f>
        <v>4109.04</v>
      </c>
      <c r="CB339" s="2">
        <f t="shared" si="174"/>
        <v>0</v>
      </c>
      <c r="CC339" s="2">
        <f t="shared" si="174"/>
        <v>0</v>
      </c>
      <c r="CD339" s="2">
        <f t="shared" si="174"/>
        <v>4109.04</v>
      </c>
      <c r="CE339" s="2">
        <f t="shared" si="174"/>
        <v>57.2</v>
      </c>
      <c r="CF339" s="2">
        <f t="shared" si="174"/>
        <v>57.2</v>
      </c>
      <c r="CG339" s="2">
        <f t="shared" si="174"/>
        <v>0</v>
      </c>
      <c r="CH339" s="2">
        <f t="shared" si="174"/>
        <v>57.2</v>
      </c>
      <c r="CI339" s="2">
        <f t="shared" si="174"/>
        <v>0</v>
      </c>
      <c r="CJ339" s="2">
        <f t="shared" si="174"/>
        <v>0</v>
      </c>
      <c r="CK339" s="2">
        <f t="shared" si="174"/>
        <v>0</v>
      </c>
      <c r="CL339" s="2">
        <f t="shared" si="174"/>
        <v>0</v>
      </c>
      <c r="CM339" s="2">
        <f t="shared" si="174"/>
        <v>0</v>
      </c>
      <c r="CN339" s="2">
        <f t="shared" si="174"/>
        <v>0</v>
      </c>
      <c r="CO339" s="2">
        <f t="shared" si="174"/>
        <v>0</v>
      </c>
      <c r="CP339" s="2">
        <f t="shared" si="174"/>
        <v>0</v>
      </c>
      <c r="CQ339" s="2">
        <f t="shared" si="174"/>
        <v>0</v>
      </c>
      <c r="CR339" s="2">
        <f t="shared" si="174"/>
        <v>0</v>
      </c>
      <c r="CS339" s="2">
        <f t="shared" si="174"/>
        <v>0</v>
      </c>
      <c r="CT339" s="2">
        <f t="shared" si="174"/>
        <v>0</v>
      </c>
      <c r="CU339" s="2">
        <f t="shared" si="174"/>
        <v>0</v>
      </c>
      <c r="CV339" s="2">
        <f t="shared" si="174"/>
        <v>0</v>
      </c>
      <c r="CW339" s="2">
        <f t="shared" si="174"/>
        <v>0</v>
      </c>
      <c r="CX339" s="2">
        <f t="shared" si="174"/>
        <v>0</v>
      </c>
      <c r="CY339" s="2">
        <f t="shared" si="174"/>
        <v>0</v>
      </c>
      <c r="CZ339" s="2">
        <f t="shared" si="174"/>
        <v>0</v>
      </c>
      <c r="DA339" s="2">
        <f t="shared" si="174"/>
        <v>0</v>
      </c>
      <c r="DB339" s="2">
        <f t="shared" si="174"/>
        <v>0</v>
      </c>
      <c r="DC339" s="2">
        <f t="shared" si="174"/>
        <v>0</v>
      </c>
      <c r="DD339" s="2">
        <f t="shared" si="174"/>
        <v>0</v>
      </c>
      <c r="DE339" s="2">
        <f t="shared" si="174"/>
        <v>0</v>
      </c>
      <c r="DF339" s="2">
        <f t="shared" si="174"/>
        <v>0</v>
      </c>
      <c r="DG339" s="3">
        <f t="shared" ref="DG339:EL339" si="175">DG344</f>
        <v>0</v>
      </c>
      <c r="DH339" s="3">
        <f t="shared" si="175"/>
        <v>0</v>
      </c>
      <c r="DI339" s="3">
        <f t="shared" si="175"/>
        <v>0</v>
      </c>
      <c r="DJ339" s="3">
        <f t="shared" si="175"/>
        <v>0</v>
      </c>
      <c r="DK339" s="3">
        <f t="shared" si="175"/>
        <v>0</v>
      </c>
      <c r="DL339" s="3">
        <f t="shared" si="175"/>
        <v>0</v>
      </c>
      <c r="DM339" s="3">
        <f t="shared" si="175"/>
        <v>0</v>
      </c>
      <c r="DN339" s="3">
        <f t="shared" si="175"/>
        <v>0</v>
      </c>
      <c r="DO339" s="3">
        <f t="shared" si="175"/>
        <v>0</v>
      </c>
      <c r="DP339" s="3">
        <f t="shared" si="175"/>
        <v>0</v>
      </c>
      <c r="DQ339" s="3">
        <f t="shared" si="175"/>
        <v>0</v>
      </c>
      <c r="DR339" s="3">
        <f t="shared" si="175"/>
        <v>0</v>
      </c>
      <c r="DS339" s="3">
        <f t="shared" si="175"/>
        <v>0</v>
      </c>
      <c r="DT339" s="3">
        <f t="shared" si="175"/>
        <v>0</v>
      </c>
      <c r="DU339" s="3">
        <f t="shared" si="175"/>
        <v>0</v>
      </c>
      <c r="DV339" s="3">
        <f t="shared" si="175"/>
        <v>0</v>
      </c>
      <c r="DW339" s="3">
        <f t="shared" si="175"/>
        <v>0</v>
      </c>
      <c r="DX339" s="3">
        <f t="shared" si="175"/>
        <v>0</v>
      </c>
      <c r="DY339" s="3">
        <f t="shared" si="175"/>
        <v>0</v>
      </c>
      <c r="DZ339" s="3">
        <f t="shared" si="175"/>
        <v>0</v>
      </c>
      <c r="EA339" s="3">
        <f t="shared" si="175"/>
        <v>0</v>
      </c>
      <c r="EB339" s="3">
        <f t="shared" si="175"/>
        <v>0</v>
      </c>
      <c r="EC339" s="3">
        <f t="shared" si="175"/>
        <v>0</v>
      </c>
      <c r="ED339" s="3">
        <f t="shared" si="175"/>
        <v>0</v>
      </c>
      <c r="EE339" s="3">
        <f t="shared" si="175"/>
        <v>0</v>
      </c>
      <c r="EF339" s="3">
        <f t="shared" si="175"/>
        <v>0</v>
      </c>
      <c r="EG339" s="3">
        <f t="shared" si="175"/>
        <v>0</v>
      </c>
      <c r="EH339" s="3">
        <f t="shared" si="175"/>
        <v>0</v>
      </c>
      <c r="EI339" s="3">
        <f t="shared" si="175"/>
        <v>0</v>
      </c>
      <c r="EJ339" s="3">
        <f t="shared" si="175"/>
        <v>0</v>
      </c>
      <c r="EK339" s="3">
        <f t="shared" si="175"/>
        <v>0</v>
      </c>
      <c r="EL339" s="3">
        <f t="shared" si="175"/>
        <v>0</v>
      </c>
      <c r="EM339" s="3">
        <f t="shared" ref="EM339:FR339" si="176">EM344</f>
        <v>0</v>
      </c>
      <c r="EN339" s="3">
        <f t="shared" si="176"/>
        <v>0</v>
      </c>
      <c r="EO339" s="3">
        <f t="shared" si="176"/>
        <v>0</v>
      </c>
      <c r="EP339" s="3">
        <f t="shared" si="176"/>
        <v>0</v>
      </c>
      <c r="EQ339" s="3">
        <f t="shared" si="176"/>
        <v>0</v>
      </c>
      <c r="ER339" s="3">
        <f t="shared" si="176"/>
        <v>0</v>
      </c>
      <c r="ES339" s="3">
        <f t="shared" si="176"/>
        <v>0</v>
      </c>
      <c r="ET339" s="3">
        <f t="shared" si="176"/>
        <v>0</v>
      </c>
      <c r="EU339" s="3">
        <f t="shared" si="176"/>
        <v>0</v>
      </c>
      <c r="EV339" s="3">
        <f t="shared" si="176"/>
        <v>0</v>
      </c>
      <c r="EW339" s="3">
        <f t="shared" si="176"/>
        <v>0</v>
      </c>
      <c r="EX339" s="3">
        <f t="shared" si="176"/>
        <v>0</v>
      </c>
      <c r="EY339" s="3">
        <f t="shared" si="176"/>
        <v>0</v>
      </c>
      <c r="EZ339" s="3">
        <f t="shared" si="176"/>
        <v>0</v>
      </c>
      <c r="FA339" s="3">
        <f t="shared" si="176"/>
        <v>0</v>
      </c>
      <c r="FB339" s="3">
        <f t="shared" si="176"/>
        <v>0</v>
      </c>
      <c r="FC339" s="3">
        <f t="shared" si="176"/>
        <v>0</v>
      </c>
      <c r="FD339" s="3">
        <f t="shared" si="176"/>
        <v>0</v>
      </c>
      <c r="FE339" s="3">
        <f t="shared" si="176"/>
        <v>0</v>
      </c>
      <c r="FF339" s="3">
        <f t="shared" si="176"/>
        <v>0</v>
      </c>
      <c r="FG339" s="3">
        <f t="shared" si="176"/>
        <v>0</v>
      </c>
      <c r="FH339" s="3">
        <f t="shared" si="176"/>
        <v>0</v>
      </c>
      <c r="FI339" s="3">
        <f t="shared" si="176"/>
        <v>0</v>
      </c>
      <c r="FJ339" s="3">
        <f t="shared" si="176"/>
        <v>0</v>
      </c>
      <c r="FK339" s="3">
        <f t="shared" si="176"/>
        <v>0</v>
      </c>
      <c r="FL339" s="3">
        <f t="shared" si="176"/>
        <v>0</v>
      </c>
      <c r="FM339" s="3">
        <f t="shared" si="176"/>
        <v>0</v>
      </c>
      <c r="FN339" s="3">
        <f t="shared" si="176"/>
        <v>0</v>
      </c>
      <c r="FO339" s="3">
        <f t="shared" si="176"/>
        <v>0</v>
      </c>
      <c r="FP339" s="3">
        <f t="shared" si="176"/>
        <v>0</v>
      </c>
      <c r="FQ339" s="3">
        <f t="shared" si="176"/>
        <v>0</v>
      </c>
      <c r="FR339" s="3">
        <f t="shared" si="176"/>
        <v>0</v>
      </c>
      <c r="FS339" s="3">
        <f t="shared" ref="FS339:GX339" si="177">FS344</f>
        <v>0</v>
      </c>
      <c r="FT339" s="3">
        <f t="shared" si="177"/>
        <v>0</v>
      </c>
      <c r="FU339" s="3">
        <f t="shared" si="177"/>
        <v>0</v>
      </c>
      <c r="FV339" s="3">
        <f t="shared" si="177"/>
        <v>0</v>
      </c>
      <c r="FW339" s="3">
        <f t="shared" si="177"/>
        <v>0</v>
      </c>
      <c r="FX339" s="3">
        <f t="shared" si="177"/>
        <v>0</v>
      </c>
      <c r="FY339" s="3">
        <f t="shared" si="177"/>
        <v>0</v>
      </c>
      <c r="FZ339" s="3">
        <f t="shared" si="177"/>
        <v>0</v>
      </c>
      <c r="GA339" s="3">
        <f t="shared" si="177"/>
        <v>0</v>
      </c>
      <c r="GB339" s="3">
        <f t="shared" si="177"/>
        <v>0</v>
      </c>
      <c r="GC339" s="3">
        <f t="shared" si="177"/>
        <v>0</v>
      </c>
      <c r="GD339" s="3">
        <f t="shared" si="177"/>
        <v>0</v>
      </c>
      <c r="GE339" s="3">
        <f t="shared" si="177"/>
        <v>0</v>
      </c>
      <c r="GF339" s="3">
        <f t="shared" si="177"/>
        <v>0</v>
      </c>
      <c r="GG339" s="3">
        <f t="shared" si="177"/>
        <v>0</v>
      </c>
      <c r="GH339" s="3">
        <f t="shared" si="177"/>
        <v>0</v>
      </c>
      <c r="GI339" s="3">
        <f t="shared" si="177"/>
        <v>0</v>
      </c>
      <c r="GJ339" s="3">
        <f t="shared" si="177"/>
        <v>0</v>
      </c>
      <c r="GK339" s="3">
        <f t="shared" si="177"/>
        <v>0</v>
      </c>
      <c r="GL339" s="3">
        <f t="shared" si="177"/>
        <v>0</v>
      </c>
      <c r="GM339" s="3">
        <f t="shared" si="177"/>
        <v>0</v>
      </c>
      <c r="GN339" s="3">
        <f t="shared" si="177"/>
        <v>0</v>
      </c>
      <c r="GO339" s="3">
        <f t="shared" si="177"/>
        <v>0</v>
      </c>
      <c r="GP339" s="3">
        <f t="shared" si="177"/>
        <v>0</v>
      </c>
      <c r="GQ339" s="3">
        <f t="shared" si="177"/>
        <v>0</v>
      </c>
      <c r="GR339" s="3">
        <f t="shared" si="177"/>
        <v>0</v>
      </c>
      <c r="GS339" s="3">
        <f t="shared" si="177"/>
        <v>0</v>
      </c>
      <c r="GT339" s="3">
        <f t="shared" si="177"/>
        <v>0</v>
      </c>
      <c r="GU339" s="3">
        <f t="shared" si="177"/>
        <v>0</v>
      </c>
      <c r="GV339" s="3">
        <f t="shared" si="177"/>
        <v>0</v>
      </c>
      <c r="GW339" s="3">
        <f t="shared" si="177"/>
        <v>0</v>
      </c>
      <c r="GX339" s="3">
        <f t="shared" si="177"/>
        <v>0</v>
      </c>
    </row>
    <row r="341" spans="1:245" x14ac:dyDescent="0.2">
      <c r="A341">
        <v>17</v>
      </c>
      <c r="B341">
        <v>1</v>
      </c>
      <c r="C341">
        <f>ROW(SmtRes!A14)</f>
        <v>14</v>
      </c>
      <c r="D341">
        <f>ROW(EtalonRes!A55)</f>
        <v>55</v>
      </c>
      <c r="E341" t="s">
        <v>156</v>
      </c>
      <c r="F341" t="s">
        <v>157</v>
      </c>
      <c r="G341" t="s">
        <v>158</v>
      </c>
      <c r="H341" t="s">
        <v>18</v>
      </c>
      <c r="I341">
        <f>ROUND(5+17+4,9)</f>
        <v>26</v>
      </c>
      <c r="J341">
        <v>0</v>
      </c>
      <c r="K341">
        <f>ROUND(5+17+4,9)</f>
        <v>26</v>
      </c>
      <c r="O341">
        <f>ROUND(CP341,2)</f>
        <v>2310.88</v>
      </c>
      <c r="P341">
        <f>ROUND(CQ341*I341,2)</f>
        <v>57.2</v>
      </c>
      <c r="Q341">
        <f>ROUND(CR341*I341,2)</f>
        <v>5.98</v>
      </c>
      <c r="R341">
        <f>ROUND(CS341*I341,2)</f>
        <v>0</v>
      </c>
      <c r="S341">
        <f>ROUND(CT341*I341,2)</f>
        <v>2247.6999999999998</v>
      </c>
      <c r="T341">
        <f>ROUND(CU341*I341,2)</f>
        <v>0</v>
      </c>
      <c r="U341">
        <f>CV341*I341</f>
        <v>3.6400000000000006</v>
      </c>
      <c r="V341">
        <f>CW341*I341</f>
        <v>0</v>
      </c>
      <c r="W341">
        <f>ROUND(CX341*I341,2)</f>
        <v>0</v>
      </c>
      <c r="X341">
        <f>ROUND(CY341,2)</f>
        <v>1573.39</v>
      </c>
      <c r="Y341">
        <f>ROUND(CZ341,2)</f>
        <v>224.77</v>
      </c>
      <c r="AA341">
        <v>1473080740</v>
      </c>
      <c r="AB341">
        <f>ROUND((AC341+AD341+AF341),6)</f>
        <v>88.88</v>
      </c>
      <c r="AC341">
        <f>ROUND((ES341),6)</f>
        <v>2.2000000000000002</v>
      </c>
      <c r="AD341">
        <f>ROUND((((ET341)-(EU341))+AE341),6)</f>
        <v>0.23</v>
      </c>
      <c r="AE341">
        <f>ROUND((EU341),6)</f>
        <v>0</v>
      </c>
      <c r="AF341">
        <f>ROUND((EV341),6)</f>
        <v>86.45</v>
      </c>
      <c r="AG341">
        <f>ROUND((AP341),6)</f>
        <v>0</v>
      </c>
      <c r="AH341">
        <f>(EW341)</f>
        <v>0.14000000000000001</v>
      </c>
      <c r="AI341">
        <f>(EX341)</f>
        <v>0</v>
      </c>
      <c r="AJ341">
        <f>(AS341)</f>
        <v>0</v>
      </c>
      <c r="AK341">
        <v>88.88</v>
      </c>
      <c r="AL341">
        <v>2.2000000000000002</v>
      </c>
      <c r="AM341">
        <v>0.23</v>
      </c>
      <c r="AN341">
        <v>0</v>
      </c>
      <c r="AO341">
        <v>86.45</v>
      </c>
      <c r="AP341">
        <v>0</v>
      </c>
      <c r="AQ341">
        <v>0.14000000000000001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159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>(P341+Q341+S341)</f>
        <v>2310.8799999999997</v>
      </c>
      <c r="CQ341">
        <f>(AC341*BC341*AW341)</f>
        <v>2.2000000000000002</v>
      </c>
      <c r="CR341">
        <f>((((ET341)*BB341-(EU341)*BS341)+AE341*BS341)*AV341)</f>
        <v>0.23</v>
      </c>
      <c r="CS341">
        <f>(AE341*BS341*AV341)</f>
        <v>0</v>
      </c>
      <c r="CT341">
        <f>(AF341*BA341*AV341)</f>
        <v>86.45</v>
      </c>
      <c r="CU341">
        <f>AG341</f>
        <v>0</v>
      </c>
      <c r="CV341">
        <f>(AH341*AV341)</f>
        <v>0.14000000000000001</v>
      </c>
      <c r="CW341">
        <f>AI341</f>
        <v>0</v>
      </c>
      <c r="CX341">
        <f>AJ341</f>
        <v>0</v>
      </c>
      <c r="CY341">
        <f>((S341*BZ341)/100)</f>
        <v>1573.39</v>
      </c>
      <c r="CZ341">
        <f>((S341*CA341)/100)</f>
        <v>224.77</v>
      </c>
      <c r="DC341" t="s">
        <v>3</v>
      </c>
      <c r="DD341" t="s">
        <v>3</v>
      </c>
      <c r="DE341" t="s">
        <v>3</v>
      </c>
      <c r="DF341" t="s">
        <v>3</v>
      </c>
      <c r="DG341" t="s">
        <v>3</v>
      </c>
      <c r="DH341" t="s">
        <v>3</v>
      </c>
      <c r="DI341" t="s">
        <v>3</v>
      </c>
      <c r="DJ341" t="s">
        <v>3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16987630</v>
      </c>
      <c r="DV341" t="s">
        <v>18</v>
      </c>
      <c r="DW341" t="s">
        <v>18</v>
      </c>
      <c r="DX341">
        <v>1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21</v>
      </c>
      <c r="EH341">
        <v>0</v>
      </c>
      <c r="EI341" t="s">
        <v>3</v>
      </c>
      <c r="EJ341">
        <v>4</v>
      </c>
      <c r="EK341">
        <v>0</v>
      </c>
      <c r="EL341" t="s">
        <v>22</v>
      </c>
      <c r="EM341" t="s">
        <v>23</v>
      </c>
      <c r="EO341" t="s">
        <v>3</v>
      </c>
      <c r="EQ341">
        <v>1835008</v>
      </c>
      <c r="ER341">
        <v>88.88</v>
      </c>
      <c r="ES341">
        <v>2.2000000000000002</v>
      </c>
      <c r="ET341">
        <v>0.23</v>
      </c>
      <c r="EU341">
        <v>0</v>
      </c>
      <c r="EV341">
        <v>86.45</v>
      </c>
      <c r="EW341">
        <v>0.14000000000000001</v>
      </c>
      <c r="EX341">
        <v>0</v>
      </c>
      <c r="EY341">
        <v>0</v>
      </c>
      <c r="FQ341">
        <v>0</v>
      </c>
      <c r="FR341">
        <f>ROUND(IF(BI341=3,GM341,0),2)</f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-129403832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>ROUND(IF(AND(BH341=3,BI341=3,FS341&lt;&gt;0),P341,0),2)</f>
        <v>0</v>
      </c>
      <c r="GM341">
        <f>ROUND(O341+X341+Y341+GK341,2)+GX341</f>
        <v>4109.04</v>
      </c>
      <c r="GN341">
        <f>IF(OR(BI341=0,BI341=1),GM341-GX341,0)</f>
        <v>0</v>
      </c>
      <c r="GO341">
        <f>IF(BI341=2,GM341-GX341,0)</f>
        <v>0</v>
      </c>
      <c r="GP341">
        <f>IF(BI341=4,GM341-GX341,0)</f>
        <v>4109.04</v>
      </c>
      <c r="GR341">
        <v>0</v>
      </c>
      <c r="GS341">
        <v>3</v>
      </c>
      <c r="GT341">
        <v>0</v>
      </c>
      <c r="GU341" t="s">
        <v>3</v>
      </c>
      <c r="GV341">
        <f>ROUND((GT341),6)</f>
        <v>0</v>
      </c>
      <c r="GW341">
        <v>1</v>
      </c>
      <c r="GX341">
        <f>ROUND(HC341*I341,2)</f>
        <v>0</v>
      </c>
      <c r="HA341">
        <v>0</v>
      </c>
      <c r="HB341">
        <v>0</v>
      </c>
      <c r="HC341">
        <f>GV341*GW341</f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C342">
        <f>ROW(SmtRes!A15)</f>
        <v>15</v>
      </c>
      <c r="D342">
        <f>ROW(EtalonRes!A56)</f>
        <v>56</v>
      </c>
      <c r="E342" t="s">
        <v>3</v>
      </c>
      <c r="F342" t="s">
        <v>160</v>
      </c>
      <c r="G342" t="s">
        <v>161</v>
      </c>
      <c r="H342" t="s">
        <v>32</v>
      </c>
      <c r="I342">
        <f>ROUND((5+17+4)/10,9)</f>
        <v>2.6</v>
      </c>
      <c r="J342">
        <v>0</v>
      </c>
      <c r="K342">
        <f>ROUND((5+17+4)/10,9)</f>
        <v>2.6</v>
      </c>
      <c r="O342">
        <f>ROUND(CP342,2)</f>
        <v>1620.92</v>
      </c>
      <c r="P342">
        <f>ROUND(CQ342*I342,2)</f>
        <v>0</v>
      </c>
      <c r="Q342">
        <f>ROUND(CR342*I342,2)</f>
        <v>0</v>
      </c>
      <c r="R342">
        <f>ROUND(CS342*I342,2)</f>
        <v>0</v>
      </c>
      <c r="S342">
        <f>ROUND(CT342*I342,2)</f>
        <v>1620.92</v>
      </c>
      <c r="T342">
        <f>ROUND(CU342*I342,2)</f>
        <v>0</v>
      </c>
      <c r="U342">
        <f>CV342*I342</f>
        <v>3.198</v>
      </c>
      <c r="V342">
        <f>CW342*I342</f>
        <v>0</v>
      </c>
      <c r="W342">
        <f>ROUND(CX342*I342,2)</f>
        <v>0</v>
      </c>
      <c r="X342">
        <f>ROUND(CY342,2)</f>
        <v>1134.6400000000001</v>
      </c>
      <c r="Y342">
        <f>ROUND(CZ342,2)</f>
        <v>162.09</v>
      </c>
      <c r="AA342">
        <v>-1</v>
      </c>
      <c r="AB342">
        <f>ROUND((AC342+AD342+AF342),6)</f>
        <v>623.42999999999995</v>
      </c>
      <c r="AC342">
        <f>ROUND(((ES342*3)),6)</f>
        <v>0</v>
      </c>
      <c r="AD342">
        <f>ROUND(((((ET342*3))-((EU342*3)))+AE342),6)</f>
        <v>0</v>
      </c>
      <c r="AE342">
        <f>ROUND(((EU342*3)),6)</f>
        <v>0</v>
      </c>
      <c r="AF342">
        <f>ROUND(((EV342*3)),6)</f>
        <v>623.42999999999995</v>
      </c>
      <c r="AG342">
        <f>ROUND((AP342),6)</f>
        <v>0</v>
      </c>
      <c r="AH342">
        <f>((EW342*3))</f>
        <v>1.23</v>
      </c>
      <c r="AI342">
        <f>((EX342*3))</f>
        <v>0</v>
      </c>
      <c r="AJ342">
        <f>(AS342)</f>
        <v>0</v>
      </c>
      <c r="AK342">
        <v>207.81</v>
      </c>
      <c r="AL342">
        <v>0</v>
      </c>
      <c r="AM342">
        <v>0</v>
      </c>
      <c r="AN342">
        <v>0</v>
      </c>
      <c r="AO342">
        <v>207.81</v>
      </c>
      <c r="AP342">
        <v>0</v>
      </c>
      <c r="AQ342">
        <v>0.41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162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>(P342+Q342+S342)</f>
        <v>1620.92</v>
      </c>
      <c r="CQ342">
        <f>(AC342*BC342*AW342)</f>
        <v>0</v>
      </c>
      <c r="CR342">
        <f>(((((ET342*3))*BB342-((EU342*3))*BS342)+AE342*BS342)*AV342)</f>
        <v>0</v>
      </c>
      <c r="CS342">
        <f>(AE342*BS342*AV342)</f>
        <v>0</v>
      </c>
      <c r="CT342">
        <f>(AF342*BA342*AV342)</f>
        <v>623.42999999999995</v>
      </c>
      <c r="CU342">
        <f>AG342</f>
        <v>0</v>
      </c>
      <c r="CV342">
        <f>(AH342*AV342)</f>
        <v>1.23</v>
      </c>
      <c r="CW342">
        <f>AI342</f>
        <v>0</v>
      </c>
      <c r="CX342">
        <f>AJ342</f>
        <v>0</v>
      </c>
      <c r="CY342">
        <f>((S342*BZ342)/100)</f>
        <v>1134.644</v>
      </c>
      <c r="CZ342">
        <f>((S342*CA342)/100)</f>
        <v>162.09200000000001</v>
      </c>
      <c r="DC342" t="s">
        <v>3</v>
      </c>
      <c r="DD342" t="s">
        <v>163</v>
      </c>
      <c r="DE342" t="s">
        <v>163</v>
      </c>
      <c r="DF342" t="s">
        <v>163</v>
      </c>
      <c r="DG342" t="s">
        <v>163</v>
      </c>
      <c r="DH342" t="s">
        <v>3</v>
      </c>
      <c r="DI342" t="s">
        <v>163</v>
      </c>
      <c r="DJ342" t="s">
        <v>163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16987630</v>
      </c>
      <c r="DV342" t="s">
        <v>32</v>
      </c>
      <c r="DW342" t="s">
        <v>32</v>
      </c>
      <c r="DX342">
        <v>10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21</v>
      </c>
      <c r="EH342">
        <v>0</v>
      </c>
      <c r="EI342" t="s">
        <v>3</v>
      </c>
      <c r="EJ342">
        <v>4</v>
      </c>
      <c r="EK342">
        <v>0</v>
      </c>
      <c r="EL342" t="s">
        <v>22</v>
      </c>
      <c r="EM342" t="s">
        <v>23</v>
      </c>
      <c r="EO342" t="s">
        <v>3</v>
      </c>
      <c r="EQ342">
        <v>1836032</v>
      </c>
      <c r="ER342">
        <v>207.81</v>
      </c>
      <c r="ES342">
        <v>0</v>
      </c>
      <c r="ET342">
        <v>0</v>
      </c>
      <c r="EU342">
        <v>0</v>
      </c>
      <c r="EV342">
        <v>207.81</v>
      </c>
      <c r="EW342">
        <v>0.41</v>
      </c>
      <c r="EX342">
        <v>0</v>
      </c>
      <c r="EY342">
        <v>0</v>
      </c>
      <c r="FQ342">
        <v>0</v>
      </c>
      <c r="FR342">
        <f>ROUND(IF(BI342=3,GM342,0),2)</f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1497006217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>ROUND(IF(AND(BH342=3,BI342=3,FS342&lt;&gt;0),P342,0),2)</f>
        <v>0</v>
      </c>
      <c r="GM342">
        <f>ROUND(O342+X342+Y342+GK342,2)+GX342</f>
        <v>2917.65</v>
      </c>
      <c r="GN342">
        <f>IF(OR(BI342=0,BI342=1),GM342-GX342,0)</f>
        <v>0</v>
      </c>
      <c r="GO342">
        <f>IF(BI342=2,GM342-GX342,0)</f>
        <v>0</v>
      </c>
      <c r="GP342">
        <f>IF(BI342=4,GM342-GX342,0)</f>
        <v>2917.65</v>
      </c>
      <c r="GR342">
        <v>0</v>
      </c>
      <c r="GS342">
        <v>3</v>
      </c>
      <c r="GT342">
        <v>0</v>
      </c>
      <c r="GU342" t="s">
        <v>3</v>
      </c>
      <c r="GV342">
        <f>ROUND((GT342),6)</f>
        <v>0</v>
      </c>
      <c r="GW342">
        <v>1</v>
      </c>
      <c r="GX342">
        <f>ROUND(HC342*I342,2)</f>
        <v>0</v>
      </c>
      <c r="HA342">
        <v>0</v>
      </c>
      <c r="HB342">
        <v>0</v>
      </c>
      <c r="HC342">
        <f>GV342*GW342</f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4" spans="1:245" x14ac:dyDescent="0.2">
      <c r="A344" s="2">
        <v>51</v>
      </c>
      <c r="B344" s="2">
        <f>B337</f>
        <v>1</v>
      </c>
      <c r="C344" s="2">
        <f>A337</f>
        <v>5</v>
      </c>
      <c r="D344" s="2">
        <f>ROW(A337)</f>
        <v>337</v>
      </c>
      <c r="E344" s="2"/>
      <c r="F344" s="2" t="str">
        <f>IF(F337&lt;&gt;"",F337,"")</f>
        <v>Новый подраздел</v>
      </c>
      <c r="G344" s="2" t="str">
        <f>IF(G337&lt;&gt;"",G337,"")</f>
        <v>Отопление</v>
      </c>
      <c r="H344" s="2">
        <v>0</v>
      </c>
      <c r="I344" s="2"/>
      <c r="J344" s="2"/>
      <c r="K344" s="2"/>
      <c r="L344" s="2"/>
      <c r="M344" s="2"/>
      <c r="N344" s="2"/>
      <c r="O344" s="2">
        <f t="shared" ref="O344:T344" si="178">ROUND(AB344,2)</f>
        <v>2310.88</v>
      </c>
      <c r="P344" s="2">
        <f t="shared" si="178"/>
        <v>57.2</v>
      </c>
      <c r="Q344" s="2">
        <f t="shared" si="178"/>
        <v>5.98</v>
      </c>
      <c r="R344" s="2">
        <f t="shared" si="178"/>
        <v>0</v>
      </c>
      <c r="S344" s="2">
        <f t="shared" si="178"/>
        <v>2247.6999999999998</v>
      </c>
      <c r="T344" s="2">
        <f t="shared" si="178"/>
        <v>0</v>
      </c>
      <c r="U344" s="2">
        <f>AH344</f>
        <v>3.6400000000000006</v>
      </c>
      <c r="V344" s="2">
        <f>AI344</f>
        <v>0</v>
      </c>
      <c r="W344" s="2">
        <f>ROUND(AJ344,2)</f>
        <v>0</v>
      </c>
      <c r="X344" s="2">
        <f>ROUND(AK344,2)</f>
        <v>1573.39</v>
      </c>
      <c r="Y344" s="2">
        <f>ROUND(AL344,2)</f>
        <v>224.77</v>
      </c>
      <c r="Z344" s="2"/>
      <c r="AA344" s="2"/>
      <c r="AB344" s="2">
        <f>ROUND(SUMIF(AA341:AA342,"=1473080740",O341:O342),2)</f>
        <v>2310.88</v>
      </c>
      <c r="AC344" s="2">
        <f>ROUND(SUMIF(AA341:AA342,"=1473080740",P341:P342),2)</f>
        <v>57.2</v>
      </c>
      <c r="AD344" s="2">
        <f>ROUND(SUMIF(AA341:AA342,"=1473080740",Q341:Q342),2)</f>
        <v>5.98</v>
      </c>
      <c r="AE344" s="2">
        <f>ROUND(SUMIF(AA341:AA342,"=1473080740",R341:R342),2)</f>
        <v>0</v>
      </c>
      <c r="AF344" s="2">
        <f>ROUND(SUMIF(AA341:AA342,"=1473080740",S341:S342),2)</f>
        <v>2247.6999999999998</v>
      </c>
      <c r="AG344" s="2">
        <f>ROUND(SUMIF(AA341:AA342,"=1473080740",T341:T342),2)</f>
        <v>0</v>
      </c>
      <c r="AH344" s="2">
        <f>SUMIF(AA341:AA342,"=1473080740",U341:U342)</f>
        <v>3.6400000000000006</v>
      </c>
      <c r="AI344" s="2">
        <f>SUMIF(AA341:AA342,"=1473080740",V341:V342)</f>
        <v>0</v>
      </c>
      <c r="AJ344" s="2">
        <f>ROUND(SUMIF(AA341:AA342,"=1473080740",W341:W342),2)</f>
        <v>0</v>
      </c>
      <c r="AK344" s="2">
        <f>ROUND(SUMIF(AA341:AA342,"=1473080740",X341:X342),2)</f>
        <v>1573.39</v>
      </c>
      <c r="AL344" s="2">
        <f>ROUND(SUMIF(AA341:AA342,"=1473080740",Y341:Y342),2)</f>
        <v>224.77</v>
      </c>
      <c r="AM344" s="2"/>
      <c r="AN344" s="2"/>
      <c r="AO344" s="2">
        <f t="shared" ref="AO344:BD344" si="179">ROUND(BX344,2)</f>
        <v>0</v>
      </c>
      <c r="AP344" s="2">
        <f t="shared" si="179"/>
        <v>0</v>
      </c>
      <c r="AQ344" s="2">
        <f t="shared" si="179"/>
        <v>0</v>
      </c>
      <c r="AR344" s="2">
        <f t="shared" si="179"/>
        <v>4109.04</v>
      </c>
      <c r="AS344" s="2">
        <f t="shared" si="179"/>
        <v>0</v>
      </c>
      <c r="AT344" s="2">
        <f t="shared" si="179"/>
        <v>0</v>
      </c>
      <c r="AU344" s="2">
        <f t="shared" si="179"/>
        <v>4109.04</v>
      </c>
      <c r="AV344" s="2">
        <f t="shared" si="179"/>
        <v>57.2</v>
      </c>
      <c r="AW344" s="2">
        <f t="shared" si="179"/>
        <v>57.2</v>
      </c>
      <c r="AX344" s="2">
        <f t="shared" si="179"/>
        <v>0</v>
      </c>
      <c r="AY344" s="2">
        <f t="shared" si="179"/>
        <v>57.2</v>
      </c>
      <c r="AZ344" s="2">
        <f t="shared" si="179"/>
        <v>0</v>
      </c>
      <c r="BA344" s="2">
        <f t="shared" si="179"/>
        <v>0</v>
      </c>
      <c r="BB344" s="2">
        <f t="shared" si="179"/>
        <v>0</v>
      </c>
      <c r="BC344" s="2">
        <f t="shared" si="179"/>
        <v>0</v>
      </c>
      <c r="BD344" s="2">
        <f t="shared" si="179"/>
        <v>0</v>
      </c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>
        <f>ROUND(SUMIF(AA341:AA342,"=1473080740",FQ341:FQ342),2)</f>
        <v>0</v>
      </c>
      <c r="BY344" s="2">
        <f>ROUND(SUMIF(AA341:AA342,"=1473080740",FR341:FR342),2)</f>
        <v>0</v>
      </c>
      <c r="BZ344" s="2">
        <f>ROUND(SUMIF(AA341:AA342,"=1473080740",GL341:GL342),2)</f>
        <v>0</v>
      </c>
      <c r="CA344" s="2">
        <f>ROUND(SUMIF(AA341:AA342,"=1473080740",GM341:GM342),2)</f>
        <v>4109.04</v>
      </c>
      <c r="CB344" s="2">
        <f>ROUND(SUMIF(AA341:AA342,"=1473080740",GN341:GN342),2)</f>
        <v>0</v>
      </c>
      <c r="CC344" s="2">
        <f>ROUND(SUMIF(AA341:AA342,"=1473080740",GO341:GO342),2)</f>
        <v>0</v>
      </c>
      <c r="CD344" s="2">
        <f>ROUND(SUMIF(AA341:AA342,"=1473080740",GP341:GP342),2)</f>
        <v>4109.04</v>
      </c>
      <c r="CE344" s="2">
        <f>AC344-BX344</f>
        <v>57.2</v>
      </c>
      <c r="CF344" s="2">
        <f>AC344-BY344</f>
        <v>57.2</v>
      </c>
      <c r="CG344" s="2">
        <f>BX344-BZ344</f>
        <v>0</v>
      </c>
      <c r="CH344" s="2">
        <f>AC344-BX344-BY344+BZ344</f>
        <v>57.2</v>
      </c>
      <c r="CI344" s="2">
        <f>BY344-BZ344</f>
        <v>0</v>
      </c>
      <c r="CJ344" s="2">
        <f>ROUND(SUMIF(AA341:AA342,"=1473080740",GX341:GX342),2)</f>
        <v>0</v>
      </c>
      <c r="CK344" s="2">
        <f>ROUND(SUMIF(AA341:AA342,"=1473080740",GY341:GY342),2)</f>
        <v>0</v>
      </c>
      <c r="CL344" s="2">
        <f>ROUND(SUMIF(AA341:AA342,"=1473080740",GZ341:GZ342),2)</f>
        <v>0</v>
      </c>
      <c r="CM344" s="2">
        <f>ROUND(SUMIF(AA341:AA342,"=1473080740",HD341:HD342),2)</f>
        <v>0</v>
      </c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3"/>
      <c r="DH344" s="3"/>
      <c r="DI344" s="3"/>
      <c r="DJ344" s="3"/>
      <c r="DK344" s="3"/>
      <c r="DL344" s="3"/>
      <c r="DM344" s="3"/>
      <c r="DN344" s="3"/>
      <c r="DO344" s="3"/>
      <c r="DP344" s="3"/>
      <c r="DQ344" s="3"/>
      <c r="DR344" s="3"/>
      <c r="DS344" s="3"/>
      <c r="DT344" s="3"/>
      <c r="DU344" s="3"/>
      <c r="DV344" s="3"/>
      <c r="DW344" s="3"/>
      <c r="DX344" s="3"/>
      <c r="DY344" s="3"/>
      <c r="DZ344" s="3"/>
      <c r="EA344" s="3"/>
      <c r="EB344" s="3"/>
      <c r="EC344" s="3"/>
      <c r="ED344" s="3"/>
      <c r="EE344" s="3"/>
      <c r="EF344" s="3"/>
      <c r="EG344" s="3"/>
      <c r="EH344" s="3"/>
      <c r="EI344" s="3"/>
      <c r="EJ344" s="3"/>
      <c r="EK344" s="3"/>
      <c r="EL344" s="3"/>
      <c r="EM344" s="3"/>
      <c r="EN344" s="3"/>
      <c r="EO344" s="3"/>
      <c r="EP344" s="3"/>
      <c r="EQ344" s="3"/>
      <c r="ER344" s="3"/>
      <c r="ES344" s="3"/>
      <c r="ET344" s="3"/>
      <c r="EU344" s="3"/>
      <c r="EV344" s="3"/>
      <c r="EW344" s="3"/>
      <c r="EX344" s="3"/>
      <c r="EY344" s="3"/>
      <c r="EZ344" s="3"/>
      <c r="FA344" s="3"/>
      <c r="FB344" s="3"/>
      <c r="FC344" s="3"/>
      <c r="FD344" s="3"/>
      <c r="FE344" s="3"/>
      <c r="FF344" s="3"/>
      <c r="FG344" s="3"/>
      <c r="FH344" s="3"/>
      <c r="FI344" s="3"/>
      <c r="FJ344" s="3"/>
      <c r="FK344" s="3"/>
      <c r="FL344" s="3"/>
      <c r="FM344" s="3"/>
      <c r="FN344" s="3"/>
      <c r="FO344" s="3"/>
      <c r="FP344" s="3"/>
      <c r="FQ344" s="3"/>
      <c r="FR344" s="3"/>
      <c r="FS344" s="3"/>
      <c r="FT344" s="3"/>
      <c r="FU344" s="3"/>
      <c r="FV344" s="3"/>
      <c r="FW344" s="3"/>
      <c r="FX344" s="3"/>
      <c r="FY344" s="3"/>
      <c r="FZ344" s="3"/>
      <c r="GA344" s="3"/>
      <c r="GB344" s="3"/>
      <c r="GC344" s="3"/>
      <c r="GD344" s="3"/>
      <c r="GE344" s="3"/>
      <c r="GF344" s="3"/>
      <c r="GG344" s="3"/>
      <c r="GH344" s="3"/>
      <c r="GI344" s="3"/>
      <c r="GJ344" s="3"/>
      <c r="GK344" s="3"/>
      <c r="GL344" s="3"/>
      <c r="GM344" s="3"/>
      <c r="GN344" s="3"/>
      <c r="GO344" s="3"/>
      <c r="GP344" s="3"/>
      <c r="GQ344" s="3"/>
      <c r="GR344" s="3"/>
      <c r="GS344" s="3"/>
      <c r="GT344" s="3"/>
      <c r="GU344" s="3"/>
      <c r="GV344" s="3"/>
      <c r="GW344" s="3"/>
      <c r="GX344" s="3">
        <v>0</v>
      </c>
    </row>
    <row r="346" spans="1:245" x14ac:dyDescent="0.2">
      <c r="A346" s="4">
        <v>50</v>
      </c>
      <c r="B346" s="4">
        <v>0</v>
      </c>
      <c r="C346" s="4">
        <v>0</v>
      </c>
      <c r="D346" s="4">
        <v>1</v>
      </c>
      <c r="E346" s="4">
        <v>201</v>
      </c>
      <c r="F346" s="4">
        <f>ROUND(Source!O344,O346)</f>
        <v>2310.88</v>
      </c>
      <c r="G346" s="4" t="s">
        <v>43</v>
      </c>
      <c r="H346" s="4" t="s">
        <v>44</v>
      </c>
      <c r="I346" s="4"/>
      <c r="J346" s="4"/>
      <c r="K346" s="4">
        <v>201</v>
      </c>
      <c r="L346" s="4">
        <v>1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2310.88</v>
      </c>
      <c r="X346" s="4">
        <v>1</v>
      </c>
      <c r="Y346" s="4">
        <v>2310.88</v>
      </c>
      <c r="Z346" s="4"/>
      <c r="AA346" s="4"/>
      <c r="AB346" s="4"/>
    </row>
    <row r="347" spans="1:245" x14ac:dyDescent="0.2">
      <c r="A347" s="4">
        <v>50</v>
      </c>
      <c r="B347" s="4">
        <v>0</v>
      </c>
      <c r="C347" s="4">
        <v>0</v>
      </c>
      <c r="D347" s="4">
        <v>1</v>
      </c>
      <c r="E347" s="4">
        <v>202</v>
      </c>
      <c r="F347" s="4">
        <f>ROUND(Source!P344,O347)</f>
        <v>57.2</v>
      </c>
      <c r="G347" s="4" t="s">
        <v>45</v>
      </c>
      <c r="H347" s="4" t="s">
        <v>46</v>
      </c>
      <c r="I347" s="4"/>
      <c r="J347" s="4"/>
      <c r="K347" s="4">
        <v>202</v>
      </c>
      <c r="L347" s="4">
        <v>2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57.2</v>
      </c>
      <c r="X347" s="4">
        <v>1</v>
      </c>
      <c r="Y347" s="4">
        <v>57.2</v>
      </c>
      <c r="Z347" s="4"/>
      <c r="AA347" s="4"/>
      <c r="AB347" s="4"/>
    </row>
    <row r="348" spans="1:245" x14ac:dyDescent="0.2">
      <c r="A348" s="4">
        <v>50</v>
      </c>
      <c r="B348" s="4">
        <v>0</v>
      </c>
      <c r="C348" s="4">
        <v>0</v>
      </c>
      <c r="D348" s="4">
        <v>1</v>
      </c>
      <c r="E348" s="4">
        <v>222</v>
      </c>
      <c r="F348" s="4">
        <f>ROUND(Source!AO344,O348)</f>
        <v>0</v>
      </c>
      <c r="G348" s="4" t="s">
        <v>47</v>
      </c>
      <c r="H348" s="4" t="s">
        <v>48</v>
      </c>
      <c r="I348" s="4"/>
      <c r="J348" s="4"/>
      <c r="K348" s="4">
        <v>222</v>
      </c>
      <c r="L348" s="4">
        <v>3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45" x14ac:dyDescent="0.2">
      <c r="A349" s="4">
        <v>50</v>
      </c>
      <c r="B349" s="4">
        <v>0</v>
      </c>
      <c r="C349" s="4">
        <v>0</v>
      </c>
      <c r="D349" s="4">
        <v>1</v>
      </c>
      <c r="E349" s="4">
        <v>225</v>
      </c>
      <c r="F349" s="4">
        <f>ROUND(Source!AV344,O349)</f>
        <v>57.2</v>
      </c>
      <c r="G349" s="4" t="s">
        <v>49</v>
      </c>
      <c r="H349" s="4" t="s">
        <v>50</v>
      </c>
      <c r="I349" s="4"/>
      <c r="J349" s="4"/>
      <c r="K349" s="4">
        <v>225</v>
      </c>
      <c r="L349" s="4">
        <v>4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57.2</v>
      </c>
      <c r="X349" s="4">
        <v>1</v>
      </c>
      <c r="Y349" s="4">
        <v>57.2</v>
      </c>
      <c r="Z349" s="4"/>
      <c r="AA349" s="4"/>
      <c r="AB349" s="4"/>
    </row>
    <row r="350" spans="1:245" x14ac:dyDescent="0.2">
      <c r="A350" s="4">
        <v>50</v>
      </c>
      <c r="B350" s="4">
        <v>0</v>
      </c>
      <c r="C350" s="4">
        <v>0</v>
      </c>
      <c r="D350" s="4">
        <v>1</v>
      </c>
      <c r="E350" s="4">
        <v>226</v>
      </c>
      <c r="F350" s="4">
        <f>ROUND(Source!AW344,O350)</f>
        <v>57.2</v>
      </c>
      <c r="G350" s="4" t="s">
        <v>51</v>
      </c>
      <c r="H350" s="4" t="s">
        <v>52</v>
      </c>
      <c r="I350" s="4"/>
      <c r="J350" s="4"/>
      <c r="K350" s="4">
        <v>226</v>
      </c>
      <c r="L350" s="4">
        <v>5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57.2</v>
      </c>
      <c r="X350" s="4">
        <v>1</v>
      </c>
      <c r="Y350" s="4">
        <v>57.2</v>
      </c>
      <c r="Z350" s="4"/>
      <c r="AA350" s="4"/>
      <c r="AB350" s="4"/>
    </row>
    <row r="351" spans="1:245" x14ac:dyDescent="0.2">
      <c r="A351" s="4">
        <v>50</v>
      </c>
      <c r="B351" s="4">
        <v>0</v>
      </c>
      <c r="C351" s="4">
        <v>0</v>
      </c>
      <c r="D351" s="4">
        <v>1</v>
      </c>
      <c r="E351" s="4">
        <v>227</v>
      </c>
      <c r="F351" s="4">
        <f>ROUND(Source!AX344,O351)</f>
        <v>0</v>
      </c>
      <c r="G351" s="4" t="s">
        <v>53</v>
      </c>
      <c r="H351" s="4" t="s">
        <v>54</v>
      </c>
      <c r="I351" s="4"/>
      <c r="J351" s="4"/>
      <c r="K351" s="4">
        <v>227</v>
      </c>
      <c r="L351" s="4">
        <v>6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228</v>
      </c>
      <c r="F352" s="4">
        <f>ROUND(Source!AY344,O352)</f>
        <v>57.2</v>
      </c>
      <c r="G352" s="4" t="s">
        <v>55</v>
      </c>
      <c r="H352" s="4" t="s">
        <v>56</v>
      </c>
      <c r="I352" s="4"/>
      <c r="J352" s="4"/>
      <c r="K352" s="4">
        <v>228</v>
      </c>
      <c r="L352" s="4">
        <v>7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57.2</v>
      </c>
      <c r="X352" s="4">
        <v>1</v>
      </c>
      <c r="Y352" s="4">
        <v>57.2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216</v>
      </c>
      <c r="F353" s="4">
        <f>ROUND(Source!AP344,O353)</f>
        <v>0</v>
      </c>
      <c r="G353" s="4" t="s">
        <v>57</v>
      </c>
      <c r="H353" s="4" t="s">
        <v>58</v>
      </c>
      <c r="I353" s="4"/>
      <c r="J353" s="4"/>
      <c r="K353" s="4">
        <v>216</v>
      </c>
      <c r="L353" s="4">
        <v>8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223</v>
      </c>
      <c r="F354" s="4">
        <f>ROUND(Source!AQ344,O354)</f>
        <v>0</v>
      </c>
      <c r="G354" s="4" t="s">
        <v>59</v>
      </c>
      <c r="H354" s="4" t="s">
        <v>60</v>
      </c>
      <c r="I354" s="4"/>
      <c r="J354" s="4"/>
      <c r="K354" s="4">
        <v>223</v>
      </c>
      <c r="L354" s="4">
        <v>9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229</v>
      </c>
      <c r="F355" s="4">
        <f>ROUND(Source!AZ344,O355)</f>
        <v>0</v>
      </c>
      <c r="G355" s="4" t="s">
        <v>61</v>
      </c>
      <c r="H355" s="4" t="s">
        <v>62</v>
      </c>
      <c r="I355" s="4"/>
      <c r="J355" s="4"/>
      <c r="K355" s="4">
        <v>229</v>
      </c>
      <c r="L355" s="4">
        <v>10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203</v>
      </c>
      <c r="F356" s="4">
        <f>ROUND(Source!Q344,O356)</f>
        <v>5.98</v>
      </c>
      <c r="G356" s="4" t="s">
        <v>63</v>
      </c>
      <c r="H356" s="4" t="s">
        <v>64</v>
      </c>
      <c r="I356" s="4"/>
      <c r="J356" s="4"/>
      <c r="K356" s="4">
        <v>203</v>
      </c>
      <c r="L356" s="4">
        <v>11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5.98</v>
      </c>
      <c r="X356" s="4">
        <v>1</v>
      </c>
      <c r="Y356" s="4">
        <v>5.98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231</v>
      </c>
      <c r="F357" s="4">
        <f>ROUND(Source!BB344,O357)</f>
        <v>0</v>
      </c>
      <c r="G357" s="4" t="s">
        <v>65</v>
      </c>
      <c r="H357" s="4" t="s">
        <v>66</v>
      </c>
      <c r="I357" s="4"/>
      <c r="J357" s="4"/>
      <c r="K357" s="4">
        <v>231</v>
      </c>
      <c r="L357" s="4">
        <v>12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204</v>
      </c>
      <c r="F358" s="4">
        <f>ROUND(Source!R344,O358)</f>
        <v>0</v>
      </c>
      <c r="G358" s="4" t="s">
        <v>67</v>
      </c>
      <c r="H358" s="4" t="s">
        <v>68</v>
      </c>
      <c r="I358" s="4"/>
      <c r="J358" s="4"/>
      <c r="K358" s="4">
        <v>204</v>
      </c>
      <c r="L358" s="4">
        <v>13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205</v>
      </c>
      <c r="F359" s="4">
        <f>ROUND(Source!S344,O359)</f>
        <v>2247.6999999999998</v>
      </c>
      <c r="G359" s="4" t="s">
        <v>69</v>
      </c>
      <c r="H359" s="4" t="s">
        <v>70</v>
      </c>
      <c r="I359" s="4"/>
      <c r="J359" s="4"/>
      <c r="K359" s="4">
        <v>205</v>
      </c>
      <c r="L359" s="4">
        <v>14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2247.6999999999998</v>
      </c>
      <c r="X359" s="4">
        <v>1</v>
      </c>
      <c r="Y359" s="4">
        <v>2247.6999999999998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232</v>
      </c>
      <c r="F360" s="4">
        <f>ROUND(Source!BC344,O360)</f>
        <v>0</v>
      </c>
      <c r="G360" s="4" t="s">
        <v>71</v>
      </c>
      <c r="H360" s="4" t="s">
        <v>72</v>
      </c>
      <c r="I360" s="4"/>
      <c r="J360" s="4"/>
      <c r="K360" s="4">
        <v>232</v>
      </c>
      <c r="L360" s="4">
        <v>15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214</v>
      </c>
      <c r="F361" s="4">
        <f>ROUND(Source!AS344,O361)</f>
        <v>0</v>
      </c>
      <c r="G361" s="4" t="s">
        <v>73</v>
      </c>
      <c r="H361" s="4" t="s">
        <v>74</v>
      </c>
      <c r="I361" s="4"/>
      <c r="J361" s="4"/>
      <c r="K361" s="4">
        <v>214</v>
      </c>
      <c r="L361" s="4">
        <v>16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215</v>
      </c>
      <c r="F362" s="4">
        <f>ROUND(Source!AT344,O362)</f>
        <v>0</v>
      </c>
      <c r="G362" s="4" t="s">
        <v>75</v>
      </c>
      <c r="H362" s="4" t="s">
        <v>76</v>
      </c>
      <c r="I362" s="4"/>
      <c r="J362" s="4"/>
      <c r="K362" s="4">
        <v>215</v>
      </c>
      <c r="L362" s="4">
        <v>17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217</v>
      </c>
      <c r="F363" s="4">
        <f>ROUND(Source!AU344,O363)</f>
        <v>4109.04</v>
      </c>
      <c r="G363" s="4" t="s">
        <v>77</v>
      </c>
      <c r="H363" s="4" t="s">
        <v>78</v>
      </c>
      <c r="I363" s="4"/>
      <c r="J363" s="4"/>
      <c r="K363" s="4">
        <v>217</v>
      </c>
      <c r="L363" s="4">
        <v>18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4109.04</v>
      </c>
      <c r="X363" s="4">
        <v>1</v>
      </c>
      <c r="Y363" s="4">
        <v>4109.04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230</v>
      </c>
      <c r="F364" s="4">
        <f>ROUND(Source!BA344,O364)</f>
        <v>0</v>
      </c>
      <c r="G364" s="4" t="s">
        <v>79</v>
      </c>
      <c r="H364" s="4" t="s">
        <v>80</v>
      </c>
      <c r="I364" s="4"/>
      <c r="J364" s="4"/>
      <c r="K364" s="4">
        <v>230</v>
      </c>
      <c r="L364" s="4">
        <v>19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206</v>
      </c>
      <c r="F365" s="4">
        <f>ROUND(Source!T344,O365)</f>
        <v>0</v>
      </c>
      <c r="G365" s="4" t="s">
        <v>81</v>
      </c>
      <c r="H365" s="4" t="s">
        <v>82</v>
      </c>
      <c r="I365" s="4"/>
      <c r="J365" s="4"/>
      <c r="K365" s="4">
        <v>206</v>
      </c>
      <c r="L365" s="4">
        <v>20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207</v>
      </c>
      <c r="F366" s="4">
        <f>Source!U344</f>
        <v>3.6400000000000006</v>
      </c>
      <c r="G366" s="4" t="s">
        <v>83</v>
      </c>
      <c r="H366" s="4" t="s">
        <v>84</v>
      </c>
      <c r="I366" s="4"/>
      <c r="J366" s="4"/>
      <c r="K366" s="4">
        <v>207</v>
      </c>
      <c r="L366" s="4">
        <v>21</v>
      </c>
      <c r="M366" s="4">
        <v>3</v>
      </c>
      <c r="N366" s="4" t="s">
        <v>3</v>
      </c>
      <c r="O366" s="4">
        <v>-1</v>
      </c>
      <c r="P366" s="4"/>
      <c r="Q366" s="4"/>
      <c r="R366" s="4"/>
      <c r="S366" s="4"/>
      <c r="T366" s="4"/>
      <c r="U366" s="4"/>
      <c r="V366" s="4"/>
      <c r="W366" s="4">
        <v>3.64</v>
      </c>
      <c r="X366" s="4">
        <v>1</v>
      </c>
      <c r="Y366" s="4">
        <v>3.64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208</v>
      </c>
      <c r="F367" s="4">
        <f>Source!V344</f>
        <v>0</v>
      </c>
      <c r="G367" s="4" t="s">
        <v>85</v>
      </c>
      <c r="H367" s="4" t="s">
        <v>86</v>
      </c>
      <c r="I367" s="4"/>
      <c r="J367" s="4"/>
      <c r="K367" s="4">
        <v>208</v>
      </c>
      <c r="L367" s="4">
        <v>22</v>
      </c>
      <c r="M367" s="4">
        <v>3</v>
      </c>
      <c r="N367" s="4" t="s">
        <v>3</v>
      </c>
      <c r="O367" s="4">
        <v>-1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209</v>
      </c>
      <c r="F368" s="4">
        <f>ROUND(Source!W344,O368)</f>
        <v>0</v>
      </c>
      <c r="G368" s="4" t="s">
        <v>87</v>
      </c>
      <c r="H368" s="4" t="s">
        <v>88</v>
      </c>
      <c r="I368" s="4"/>
      <c r="J368" s="4"/>
      <c r="K368" s="4">
        <v>209</v>
      </c>
      <c r="L368" s="4">
        <v>23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06" x14ac:dyDescent="0.2">
      <c r="A369" s="4">
        <v>50</v>
      </c>
      <c r="B369" s="4">
        <v>0</v>
      </c>
      <c r="C369" s="4">
        <v>0</v>
      </c>
      <c r="D369" s="4">
        <v>1</v>
      </c>
      <c r="E369" s="4">
        <v>233</v>
      </c>
      <c r="F369" s="4">
        <f>ROUND(Source!BD344,O369)</f>
        <v>0</v>
      </c>
      <c r="G369" s="4" t="s">
        <v>89</v>
      </c>
      <c r="H369" s="4" t="s">
        <v>90</v>
      </c>
      <c r="I369" s="4"/>
      <c r="J369" s="4"/>
      <c r="K369" s="4">
        <v>233</v>
      </c>
      <c r="L369" s="4">
        <v>24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06" x14ac:dyDescent="0.2">
      <c r="A370" s="4">
        <v>50</v>
      </c>
      <c r="B370" s="4">
        <v>0</v>
      </c>
      <c r="C370" s="4">
        <v>0</v>
      </c>
      <c r="D370" s="4">
        <v>1</v>
      </c>
      <c r="E370" s="4">
        <v>210</v>
      </c>
      <c r="F370" s="4">
        <f>ROUND(Source!X344,O370)</f>
        <v>1573.39</v>
      </c>
      <c r="G370" s="4" t="s">
        <v>91</v>
      </c>
      <c r="H370" s="4" t="s">
        <v>92</v>
      </c>
      <c r="I370" s="4"/>
      <c r="J370" s="4"/>
      <c r="K370" s="4">
        <v>210</v>
      </c>
      <c r="L370" s="4">
        <v>25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1573.39</v>
      </c>
      <c r="X370" s="4">
        <v>1</v>
      </c>
      <c r="Y370" s="4">
        <v>1573.39</v>
      </c>
      <c r="Z370" s="4"/>
      <c r="AA370" s="4"/>
      <c r="AB370" s="4"/>
    </row>
    <row r="371" spans="1:206" x14ac:dyDescent="0.2">
      <c r="A371" s="4">
        <v>50</v>
      </c>
      <c r="B371" s="4">
        <v>0</v>
      </c>
      <c r="C371" s="4">
        <v>0</v>
      </c>
      <c r="D371" s="4">
        <v>1</v>
      </c>
      <c r="E371" s="4">
        <v>211</v>
      </c>
      <c r="F371" s="4">
        <f>ROUND(Source!Y344,O371)</f>
        <v>224.77</v>
      </c>
      <c r="G371" s="4" t="s">
        <v>93</v>
      </c>
      <c r="H371" s="4" t="s">
        <v>94</v>
      </c>
      <c r="I371" s="4"/>
      <c r="J371" s="4"/>
      <c r="K371" s="4">
        <v>211</v>
      </c>
      <c r="L371" s="4">
        <v>26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224.77</v>
      </c>
      <c r="X371" s="4">
        <v>1</v>
      </c>
      <c r="Y371" s="4">
        <v>224.77</v>
      </c>
      <c r="Z371" s="4"/>
      <c r="AA371" s="4"/>
      <c r="AB371" s="4"/>
    </row>
    <row r="372" spans="1:206" x14ac:dyDescent="0.2">
      <c r="A372" s="4">
        <v>50</v>
      </c>
      <c r="B372" s="4">
        <v>0</v>
      </c>
      <c r="C372" s="4">
        <v>0</v>
      </c>
      <c r="D372" s="4">
        <v>1</v>
      </c>
      <c r="E372" s="4">
        <v>224</v>
      </c>
      <c r="F372" s="4">
        <f>ROUND(Source!AR344,O372)</f>
        <v>4109.04</v>
      </c>
      <c r="G372" s="4" t="s">
        <v>95</v>
      </c>
      <c r="H372" s="4" t="s">
        <v>96</v>
      </c>
      <c r="I372" s="4"/>
      <c r="J372" s="4"/>
      <c r="K372" s="4">
        <v>224</v>
      </c>
      <c r="L372" s="4">
        <v>27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4109.04</v>
      </c>
      <c r="X372" s="4">
        <v>1</v>
      </c>
      <c r="Y372" s="4">
        <v>4109.04</v>
      </c>
      <c r="Z372" s="4"/>
      <c r="AA372" s="4"/>
      <c r="AB372" s="4"/>
    </row>
    <row r="374" spans="1:206" x14ac:dyDescent="0.2">
      <c r="A374" s="2">
        <v>51</v>
      </c>
      <c r="B374" s="2">
        <f>B333</f>
        <v>1</v>
      </c>
      <c r="C374" s="2">
        <f>A333</f>
        <v>4</v>
      </c>
      <c r="D374" s="2">
        <f>ROW(A333)</f>
        <v>333</v>
      </c>
      <c r="E374" s="2"/>
      <c r="F374" s="2" t="str">
        <f>IF(F333&lt;&gt;"",F333,"")</f>
        <v>Новый раздел</v>
      </c>
      <c r="G374" s="2" t="str">
        <f>IF(G333&lt;&gt;"",G333,"")</f>
        <v>Внутренние сети отопления</v>
      </c>
      <c r="H374" s="2">
        <v>0</v>
      </c>
      <c r="I374" s="2"/>
      <c r="J374" s="2"/>
      <c r="K374" s="2"/>
      <c r="L374" s="2"/>
      <c r="M374" s="2"/>
      <c r="N374" s="2"/>
      <c r="O374" s="2">
        <f t="shared" ref="O374:T374" si="180">ROUND(O344+AB374,2)</f>
        <v>2310.88</v>
      </c>
      <c r="P374" s="2">
        <f t="shared" si="180"/>
        <v>57.2</v>
      </c>
      <c r="Q374" s="2">
        <f t="shared" si="180"/>
        <v>5.98</v>
      </c>
      <c r="R374" s="2">
        <f t="shared" si="180"/>
        <v>0</v>
      </c>
      <c r="S374" s="2">
        <f t="shared" si="180"/>
        <v>2247.6999999999998</v>
      </c>
      <c r="T374" s="2">
        <f t="shared" si="180"/>
        <v>0</v>
      </c>
      <c r="U374" s="2">
        <f>U344+AH374</f>
        <v>3.6400000000000006</v>
      </c>
      <c r="V374" s="2">
        <f>V344+AI374</f>
        <v>0</v>
      </c>
      <c r="W374" s="2">
        <f>ROUND(W344+AJ374,2)</f>
        <v>0</v>
      </c>
      <c r="X374" s="2">
        <f>ROUND(X344+AK374,2)</f>
        <v>1573.39</v>
      </c>
      <c r="Y374" s="2">
        <f>ROUND(Y344+AL374,2)</f>
        <v>224.77</v>
      </c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>
        <f t="shared" ref="AO374:BD374" si="181">ROUND(AO344+BX374,2)</f>
        <v>0</v>
      </c>
      <c r="AP374" s="2">
        <f t="shared" si="181"/>
        <v>0</v>
      </c>
      <c r="AQ374" s="2">
        <f t="shared" si="181"/>
        <v>0</v>
      </c>
      <c r="AR374" s="2">
        <f t="shared" si="181"/>
        <v>4109.04</v>
      </c>
      <c r="AS374" s="2">
        <f t="shared" si="181"/>
        <v>0</v>
      </c>
      <c r="AT374" s="2">
        <f t="shared" si="181"/>
        <v>0</v>
      </c>
      <c r="AU374" s="2">
        <f t="shared" si="181"/>
        <v>4109.04</v>
      </c>
      <c r="AV374" s="2">
        <f t="shared" si="181"/>
        <v>57.2</v>
      </c>
      <c r="AW374" s="2">
        <f t="shared" si="181"/>
        <v>57.2</v>
      </c>
      <c r="AX374" s="2">
        <f t="shared" si="181"/>
        <v>0</v>
      </c>
      <c r="AY374" s="2">
        <f t="shared" si="181"/>
        <v>57.2</v>
      </c>
      <c r="AZ374" s="2">
        <f t="shared" si="181"/>
        <v>0</v>
      </c>
      <c r="BA374" s="2">
        <f t="shared" si="181"/>
        <v>0</v>
      </c>
      <c r="BB374" s="2">
        <f t="shared" si="181"/>
        <v>0</v>
      </c>
      <c r="BC374" s="2">
        <f t="shared" si="181"/>
        <v>0</v>
      </c>
      <c r="BD374" s="2">
        <f t="shared" si="181"/>
        <v>0</v>
      </c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3"/>
      <c r="DH374" s="3"/>
      <c r="DI374" s="3"/>
      <c r="DJ374" s="3"/>
      <c r="DK374" s="3"/>
      <c r="DL374" s="3"/>
      <c r="DM374" s="3"/>
      <c r="DN374" s="3"/>
      <c r="DO374" s="3"/>
      <c r="DP374" s="3"/>
      <c r="DQ374" s="3"/>
      <c r="DR374" s="3"/>
      <c r="DS374" s="3"/>
      <c r="DT374" s="3"/>
      <c r="DU374" s="3"/>
      <c r="DV374" s="3"/>
      <c r="DW374" s="3"/>
      <c r="DX374" s="3"/>
      <c r="DY374" s="3"/>
      <c r="DZ374" s="3"/>
      <c r="EA374" s="3"/>
      <c r="EB374" s="3"/>
      <c r="EC374" s="3"/>
      <c r="ED374" s="3"/>
      <c r="EE374" s="3"/>
      <c r="EF374" s="3"/>
      <c r="EG374" s="3"/>
      <c r="EH374" s="3"/>
      <c r="EI374" s="3"/>
      <c r="EJ374" s="3"/>
      <c r="EK374" s="3"/>
      <c r="EL374" s="3"/>
      <c r="EM374" s="3"/>
      <c r="EN374" s="3"/>
      <c r="EO374" s="3"/>
      <c r="EP374" s="3"/>
      <c r="EQ374" s="3"/>
      <c r="ER374" s="3"/>
      <c r="ES374" s="3"/>
      <c r="ET374" s="3"/>
      <c r="EU374" s="3"/>
      <c r="EV374" s="3"/>
      <c r="EW374" s="3"/>
      <c r="EX374" s="3"/>
      <c r="EY374" s="3"/>
      <c r="EZ374" s="3"/>
      <c r="FA374" s="3"/>
      <c r="FB374" s="3"/>
      <c r="FC374" s="3"/>
      <c r="FD374" s="3"/>
      <c r="FE374" s="3"/>
      <c r="FF374" s="3"/>
      <c r="FG374" s="3"/>
      <c r="FH374" s="3"/>
      <c r="FI374" s="3"/>
      <c r="FJ374" s="3"/>
      <c r="FK374" s="3"/>
      <c r="FL374" s="3"/>
      <c r="FM374" s="3"/>
      <c r="FN374" s="3"/>
      <c r="FO374" s="3"/>
      <c r="FP374" s="3"/>
      <c r="FQ374" s="3"/>
      <c r="FR374" s="3"/>
      <c r="FS374" s="3"/>
      <c r="FT374" s="3"/>
      <c r="FU374" s="3"/>
      <c r="FV374" s="3"/>
      <c r="FW374" s="3"/>
      <c r="FX374" s="3"/>
      <c r="FY374" s="3"/>
      <c r="FZ374" s="3"/>
      <c r="GA374" s="3"/>
      <c r="GB374" s="3"/>
      <c r="GC374" s="3"/>
      <c r="GD374" s="3"/>
      <c r="GE374" s="3"/>
      <c r="GF374" s="3"/>
      <c r="GG374" s="3"/>
      <c r="GH374" s="3"/>
      <c r="GI374" s="3"/>
      <c r="GJ374" s="3"/>
      <c r="GK374" s="3"/>
      <c r="GL374" s="3"/>
      <c r="GM374" s="3"/>
      <c r="GN374" s="3"/>
      <c r="GO374" s="3"/>
      <c r="GP374" s="3"/>
      <c r="GQ374" s="3"/>
      <c r="GR374" s="3"/>
      <c r="GS374" s="3"/>
      <c r="GT374" s="3"/>
      <c r="GU374" s="3"/>
      <c r="GV374" s="3"/>
      <c r="GW374" s="3"/>
      <c r="GX374" s="3">
        <v>0</v>
      </c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201</v>
      </c>
      <c r="F376" s="4">
        <f>ROUND(Source!O374,O376)</f>
        <v>2310.88</v>
      </c>
      <c r="G376" s="4" t="s">
        <v>43</v>
      </c>
      <c r="H376" s="4" t="s">
        <v>44</v>
      </c>
      <c r="I376" s="4"/>
      <c r="J376" s="4"/>
      <c r="K376" s="4">
        <v>201</v>
      </c>
      <c r="L376" s="4">
        <v>1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2310.88</v>
      </c>
      <c r="X376" s="4">
        <v>1</v>
      </c>
      <c r="Y376" s="4">
        <v>2310.88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202</v>
      </c>
      <c r="F377" s="4">
        <f>ROUND(Source!P374,O377)</f>
        <v>57.2</v>
      </c>
      <c r="G377" s="4" t="s">
        <v>45</v>
      </c>
      <c r="H377" s="4" t="s">
        <v>46</v>
      </c>
      <c r="I377" s="4"/>
      <c r="J377" s="4"/>
      <c r="K377" s="4">
        <v>202</v>
      </c>
      <c r="L377" s="4">
        <v>2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57.2</v>
      </c>
      <c r="X377" s="4">
        <v>1</v>
      </c>
      <c r="Y377" s="4">
        <v>57.2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222</v>
      </c>
      <c r="F378" s="4">
        <f>ROUND(Source!AO374,O378)</f>
        <v>0</v>
      </c>
      <c r="G378" s="4" t="s">
        <v>47</v>
      </c>
      <c r="H378" s="4" t="s">
        <v>48</v>
      </c>
      <c r="I378" s="4"/>
      <c r="J378" s="4"/>
      <c r="K378" s="4">
        <v>222</v>
      </c>
      <c r="L378" s="4">
        <v>3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225</v>
      </c>
      <c r="F379" s="4">
        <f>ROUND(Source!AV374,O379)</f>
        <v>57.2</v>
      </c>
      <c r="G379" s="4" t="s">
        <v>49</v>
      </c>
      <c r="H379" s="4" t="s">
        <v>50</v>
      </c>
      <c r="I379" s="4"/>
      <c r="J379" s="4"/>
      <c r="K379" s="4">
        <v>225</v>
      </c>
      <c r="L379" s="4">
        <v>4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57.2</v>
      </c>
      <c r="X379" s="4">
        <v>1</v>
      </c>
      <c r="Y379" s="4">
        <v>57.2</v>
      </c>
      <c r="Z379" s="4"/>
      <c r="AA379" s="4"/>
      <c r="AB379" s="4"/>
    </row>
    <row r="380" spans="1:206" x14ac:dyDescent="0.2">
      <c r="A380" s="4">
        <v>50</v>
      </c>
      <c r="B380" s="4">
        <v>0</v>
      </c>
      <c r="C380" s="4">
        <v>0</v>
      </c>
      <c r="D380" s="4">
        <v>1</v>
      </c>
      <c r="E380" s="4">
        <v>226</v>
      </c>
      <c r="F380" s="4">
        <f>ROUND(Source!AW374,O380)</f>
        <v>57.2</v>
      </c>
      <c r="G380" s="4" t="s">
        <v>51</v>
      </c>
      <c r="H380" s="4" t="s">
        <v>52</v>
      </c>
      <c r="I380" s="4"/>
      <c r="J380" s="4"/>
      <c r="K380" s="4">
        <v>226</v>
      </c>
      <c r="L380" s="4">
        <v>5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57.2</v>
      </c>
      <c r="X380" s="4">
        <v>1</v>
      </c>
      <c r="Y380" s="4">
        <v>57.2</v>
      </c>
      <c r="Z380" s="4"/>
      <c r="AA380" s="4"/>
      <c r="AB380" s="4"/>
    </row>
    <row r="381" spans="1:206" x14ac:dyDescent="0.2">
      <c r="A381" s="4">
        <v>50</v>
      </c>
      <c r="B381" s="4">
        <v>0</v>
      </c>
      <c r="C381" s="4">
        <v>0</v>
      </c>
      <c r="D381" s="4">
        <v>1</v>
      </c>
      <c r="E381" s="4">
        <v>227</v>
      </c>
      <c r="F381" s="4">
        <f>ROUND(Source!AX374,O381)</f>
        <v>0</v>
      </c>
      <c r="G381" s="4" t="s">
        <v>53</v>
      </c>
      <c r="H381" s="4" t="s">
        <v>54</v>
      </c>
      <c r="I381" s="4"/>
      <c r="J381" s="4"/>
      <c r="K381" s="4">
        <v>227</v>
      </c>
      <c r="L381" s="4">
        <v>6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228</v>
      </c>
      <c r="F382" s="4">
        <f>ROUND(Source!AY374,O382)</f>
        <v>57.2</v>
      </c>
      <c r="G382" s="4" t="s">
        <v>55</v>
      </c>
      <c r="H382" s="4" t="s">
        <v>56</v>
      </c>
      <c r="I382" s="4"/>
      <c r="J382" s="4"/>
      <c r="K382" s="4">
        <v>228</v>
      </c>
      <c r="L382" s="4">
        <v>7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57.2</v>
      </c>
      <c r="X382" s="4">
        <v>1</v>
      </c>
      <c r="Y382" s="4">
        <v>57.2</v>
      </c>
      <c r="Z382" s="4"/>
      <c r="AA382" s="4"/>
      <c r="AB382" s="4"/>
    </row>
    <row r="383" spans="1:206" x14ac:dyDescent="0.2">
      <c r="A383" s="4">
        <v>50</v>
      </c>
      <c r="B383" s="4">
        <v>0</v>
      </c>
      <c r="C383" s="4">
        <v>0</v>
      </c>
      <c r="D383" s="4">
        <v>1</v>
      </c>
      <c r="E383" s="4">
        <v>216</v>
      </c>
      <c r="F383" s="4">
        <f>ROUND(Source!AP374,O383)</f>
        <v>0</v>
      </c>
      <c r="G383" s="4" t="s">
        <v>57</v>
      </c>
      <c r="H383" s="4" t="s">
        <v>58</v>
      </c>
      <c r="I383" s="4"/>
      <c r="J383" s="4"/>
      <c r="K383" s="4">
        <v>216</v>
      </c>
      <c r="L383" s="4">
        <v>8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06" x14ac:dyDescent="0.2">
      <c r="A384" s="4">
        <v>50</v>
      </c>
      <c r="B384" s="4">
        <v>0</v>
      </c>
      <c r="C384" s="4">
        <v>0</v>
      </c>
      <c r="D384" s="4">
        <v>1</v>
      </c>
      <c r="E384" s="4">
        <v>223</v>
      </c>
      <c r="F384" s="4">
        <f>ROUND(Source!AQ374,O384)</f>
        <v>0</v>
      </c>
      <c r="G384" s="4" t="s">
        <v>59</v>
      </c>
      <c r="H384" s="4" t="s">
        <v>60</v>
      </c>
      <c r="I384" s="4"/>
      <c r="J384" s="4"/>
      <c r="K384" s="4">
        <v>223</v>
      </c>
      <c r="L384" s="4">
        <v>9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229</v>
      </c>
      <c r="F385" s="4">
        <f>ROUND(Source!AZ374,O385)</f>
        <v>0</v>
      </c>
      <c r="G385" s="4" t="s">
        <v>61</v>
      </c>
      <c r="H385" s="4" t="s">
        <v>62</v>
      </c>
      <c r="I385" s="4"/>
      <c r="J385" s="4"/>
      <c r="K385" s="4">
        <v>229</v>
      </c>
      <c r="L385" s="4">
        <v>10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203</v>
      </c>
      <c r="F386" s="4">
        <f>ROUND(Source!Q374,O386)</f>
        <v>5.98</v>
      </c>
      <c r="G386" s="4" t="s">
        <v>63</v>
      </c>
      <c r="H386" s="4" t="s">
        <v>64</v>
      </c>
      <c r="I386" s="4"/>
      <c r="J386" s="4"/>
      <c r="K386" s="4">
        <v>203</v>
      </c>
      <c r="L386" s="4">
        <v>11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5.98</v>
      </c>
      <c r="X386" s="4">
        <v>1</v>
      </c>
      <c r="Y386" s="4">
        <v>5.98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231</v>
      </c>
      <c r="F387" s="4">
        <f>ROUND(Source!BB374,O387)</f>
        <v>0</v>
      </c>
      <c r="G387" s="4" t="s">
        <v>65</v>
      </c>
      <c r="H387" s="4" t="s">
        <v>66</v>
      </c>
      <c r="I387" s="4"/>
      <c r="J387" s="4"/>
      <c r="K387" s="4">
        <v>231</v>
      </c>
      <c r="L387" s="4">
        <v>12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204</v>
      </c>
      <c r="F388" s="4">
        <f>ROUND(Source!R374,O388)</f>
        <v>0</v>
      </c>
      <c r="G388" s="4" t="s">
        <v>67</v>
      </c>
      <c r="H388" s="4" t="s">
        <v>68</v>
      </c>
      <c r="I388" s="4"/>
      <c r="J388" s="4"/>
      <c r="K388" s="4">
        <v>204</v>
      </c>
      <c r="L388" s="4">
        <v>13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205</v>
      </c>
      <c r="F389" s="4">
        <f>ROUND(Source!S374,O389)</f>
        <v>2247.6999999999998</v>
      </c>
      <c r="G389" s="4" t="s">
        <v>69</v>
      </c>
      <c r="H389" s="4" t="s">
        <v>70</v>
      </c>
      <c r="I389" s="4"/>
      <c r="J389" s="4"/>
      <c r="K389" s="4">
        <v>205</v>
      </c>
      <c r="L389" s="4">
        <v>14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2247.6999999999998</v>
      </c>
      <c r="X389" s="4">
        <v>1</v>
      </c>
      <c r="Y389" s="4">
        <v>2247.6999999999998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232</v>
      </c>
      <c r="F390" s="4">
        <f>ROUND(Source!BC374,O390)</f>
        <v>0</v>
      </c>
      <c r="G390" s="4" t="s">
        <v>71</v>
      </c>
      <c r="H390" s="4" t="s">
        <v>72</v>
      </c>
      <c r="I390" s="4"/>
      <c r="J390" s="4"/>
      <c r="K390" s="4">
        <v>232</v>
      </c>
      <c r="L390" s="4">
        <v>15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214</v>
      </c>
      <c r="F391" s="4">
        <f>ROUND(Source!AS374,O391)</f>
        <v>0</v>
      </c>
      <c r="G391" s="4" t="s">
        <v>73</v>
      </c>
      <c r="H391" s="4" t="s">
        <v>74</v>
      </c>
      <c r="I391" s="4"/>
      <c r="J391" s="4"/>
      <c r="K391" s="4">
        <v>214</v>
      </c>
      <c r="L391" s="4">
        <v>16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215</v>
      </c>
      <c r="F392" s="4">
        <f>ROUND(Source!AT374,O392)</f>
        <v>0</v>
      </c>
      <c r="G392" s="4" t="s">
        <v>75</v>
      </c>
      <c r="H392" s="4" t="s">
        <v>76</v>
      </c>
      <c r="I392" s="4"/>
      <c r="J392" s="4"/>
      <c r="K392" s="4">
        <v>215</v>
      </c>
      <c r="L392" s="4">
        <v>17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217</v>
      </c>
      <c r="F393" s="4">
        <f>ROUND(Source!AU374,O393)</f>
        <v>4109.04</v>
      </c>
      <c r="G393" s="4" t="s">
        <v>77</v>
      </c>
      <c r="H393" s="4" t="s">
        <v>78</v>
      </c>
      <c r="I393" s="4"/>
      <c r="J393" s="4"/>
      <c r="K393" s="4">
        <v>217</v>
      </c>
      <c r="L393" s="4">
        <v>18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4109.04</v>
      </c>
      <c r="X393" s="4">
        <v>1</v>
      </c>
      <c r="Y393" s="4">
        <v>4109.04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230</v>
      </c>
      <c r="F394" s="4">
        <f>ROUND(Source!BA374,O394)</f>
        <v>0</v>
      </c>
      <c r="G394" s="4" t="s">
        <v>79</v>
      </c>
      <c r="H394" s="4" t="s">
        <v>80</v>
      </c>
      <c r="I394" s="4"/>
      <c r="J394" s="4"/>
      <c r="K394" s="4">
        <v>230</v>
      </c>
      <c r="L394" s="4">
        <v>19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206</v>
      </c>
      <c r="F395" s="4">
        <f>ROUND(Source!T374,O395)</f>
        <v>0</v>
      </c>
      <c r="G395" s="4" t="s">
        <v>81</v>
      </c>
      <c r="H395" s="4" t="s">
        <v>82</v>
      </c>
      <c r="I395" s="4"/>
      <c r="J395" s="4"/>
      <c r="K395" s="4">
        <v>206</v>
      </c>
      <c r="L395" s="4">
        <v>20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207</v>
      </c>
      <c r="F396" s="4">
        <f>Source!U374</f>
        <v>3.6400000000000006</v>
      </c>
      <c r="G396" s="4" t="s">
        <v>83</v>
      </c>
      <c r="H396" s="4" t="s">
        <v>84</v>
      </c>
      <c r="I396" s="4"/>
      <c r="J396" s="4"/>
      <c r="K396" s="4">
        <v>207</v>
      </c>
      <c r="L396" s="4">
        <v>21</v>
      </c>
      <c r="M396" s="4">
        <v>3</v>
      </c>
      <c r="N396" s="4" t="s">
        <v>3</v>
      </c>
      <c r="O396" s="4">
        <v>-1</v>
      </c>
      <c r="P396" s="4"/>
      <c r="Q396" s="4"/>
      <c r="R396" s="4"/>
      <c r="S396" s="4"/>
      <c r="T396" s="4"/>
      <c r="U396" s="4"/>
      <c r="V396" s="4"/>
      <c r="W396" s="4">
        <v>3.64</v>
      </c>
      <c r="X396" s="4">
        <v>1</v>
      </c>
      <c r="Y396" s="4">
        <v>3.64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208</v>
      </c>
      <c r="F397" s="4">
        <f>Source!V374</f>
        <v>0</v>
      </c>
      <c r="G397" s="4" t="s">
        <v>85</v>
      </c>
      <c r="H397" s="4" t="s">
        <v>86</v>
      </c>
      <c r="I397" s="4"/>
      <c r="J397" s="4"/>
      <c r="K397" s="4">
        <v>208</v>
      </c>
      <c r="L397" s="4">
        <v>22</v>
      </c>
      <c r="M397" s="4">
        <v>3</v>
      </c>
      <c r="N397" s="4" t="s">
        <v>3</v>
      </c>
      <c r="O397" s="4">
        <v>-1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209</v>
      </c>
      <c r="F398" s="4">
        <f>ROUND(Source!W374,O398)</f>
        <v>0</v>
      </c>
      <c r="G398" s="4" t="s">
        <v>87</v>
      </c>
      <c r="H398" s="4" t="s">
        <v>88</v>
      </c>
      <c r="I398" s="4"/>
      <c r="J398" s="4"/>
      <c r="K398" s="4">
        <v>209</v>
      </c>
      <c r="L398" s="4">
        <v>23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233</v>
      </c>
      <c r="F399" s="4">
        <f>ROUND(Source!BD374,O399)</f>
        <v>0</v>
      </c>
      <c r="G399" s="4" t="s">
        <v>89</v>
      </c>
      <c r="H399" s="4" t="s">
        <v>90</v>
      </c>
      <c r="I399" s="4"/>
      <c r="J399" s="4"/>
      <c r="K399" s="4">
        <v>233</v>
      </c>
      <c r="L399" s="4">
        <v>24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210</v>
      </c>
      <c r="F400" s="4">
        <f>ROUND(Source!X374,O400)</f>
        <v>1573.39</v>
      </c>
      <c r="G400" s="4" t="s">
        <v>91</v>
      </c>
      <c r="H400" s="4" t="s">
        <v>92</v>
      </c>
      <c r="I400" s="4"/>
      <c r="J400" s="4"/>
      <c r="K400" s="4">
        <v>210</v>
      </c>
      <c r="L400" s="4">
        <v>25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1573.39</v>
      </c>
      <c r="X400" s="4">
        <v>1</v>
      </c>
      <c r="Y400" s="4">
        <v>1573.39</v>
      </c>
      <c r="Z400" s="4"/>
      <c r="AA400" s="4"/>
      <c r="AB400" s="4"/>
    </row>
    <row r="401" spans="1:245" x14ac:dyDescent="0.2">
      <c r="A401" s="4">
        <v>50</v>
      </c>
      <c r="B401" s="4">
        <v>0</v>
      </c>
      <c r="C401" s="4">
        <v>0</v>
      </c>
      <c r="D401" s="4">
        <v>1</v>
      </c>
      <c r="E401" s="4">
        <v>211</v>
      </c>
      <c r="F401" s="4">
        <f>ROUND(Source!Y374,O401)</f>
        <v>224.77</v>
      </c>
      <c r="G401" s="4" t="s">
        <v>93</v>
      </c>
      <c r="H401" s="4" t="s">
        <v>94</v>
      </c>
      <c r="I401" s="4"/>
      <c r="J401" s="4"/>
      <c r="K401" s="4">
        <v>211</v>
      </c>
      <c r="L401" s="4">
        <v>26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224.77</v>
      </c>
      <c r="X401" s="4">
        <v>1</v>
      </c>
      <c r="Y401" s="4">
        <v>224.77</v>
      </c>
      <c r="Z401" s="4"/>
      <c r="AA401" s="4"/>
      <c r="AB401" s="4"/>
    </row>
    <row r="402" spans="1:245" x14ac:dyDescent="0.2">
      <c r="A402" s="4">
        <v>50</v>
      </c>
      <c r="B402" s="4">
        <v>0</v>
      </c>
      <c r="C402" s="4">
        <v>0</v>
      </c>
      <c r="D402" s="4">
        <v>1</v>
      </c>
      <c r="E402" s="4">
        <v>224</v>
      </c>
      <c r="F402" s="4">
        <f>ROUND(Source!AR374,O402)</f>
        <v>4109.04</v>
      </c>
      <c r="G402" s="4" t="s">
        <v>95</v>
      </c>
      <c r="H402" s="4" t="s">
        <v>96</v>
      </c>
      <c r="I402" s="4"/>
      <c r="J402" s="4"/>
      <c r="K402" s="4">
        <v>224</v>
      </c>
      <c r="L402" s="4">
        <v>27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4109.04</v>
      </c>
      <c r="X402" s="4">
        <v>1</v>
      </c>
      <c r="Y402" s="4">
        <v>4109.04</v>
      </c>
      <c r="Z402" s="4"/>
      <c r="AA402" s="4"/>
      <c r="AB402" s="4"/>
    </row>
    <row r="404" spans="1:245" x14ac:dyDescent="0.2">
      <c r="A404" s="1">
        <v>4</v>
      </c>
      <c r="B404" s="1">
        <v>1</v>
      </c>
      <c r="C404" s="1"/>
      <c r="D404" s="1">
        <f>ROW(A456)</f>
        <v>456</v>
      </c>
      <c r="E404" s="1"/>
      <c r="F404" s="1" t="s">
        <v>12</v>
      </c>
      <c r="G404" s="1" t="s">
        <v>164</v>
      </c>
      <c r="H404" s="1" t="s">
        <v>3</v>
      </c>
      <c r="I404" s="1">
        <v>0</v>
      </c>
      <c r="J404" s="1"/>
      <c r="K404" s="1">
        <v>-1</v>
      </c>
      <c r="L404" s="1"/>
      <c r="M404" s="1" t="s">
        <v>3</v>
      </c>
      <c r="N404" s="1"/>
      <c r="O404" s="1"/>
      <c r="P404" s="1"/>
      <c r="Q404" s="1"/>
      <c r="R404" s="1"/>
      <c r="S404" s="1">
        <v>0</v>
      </c>
      <c r="T404" s="1"/>
      <c r="U404" s="1" t="s">
        <v>3</v>
      </c>
      <c r="V404" s="1">
        <v>0</v>
      </c>
      <c r="W404" s="1"/>
      <c r="X404" s="1"/>
      <c r="Y404" s="1"/>
      <c r="Z404" s="1"/>
      <c r="AA404" s="1"/>
      <c r="AB404" s="1" t="s">
        <v>3</v>
      </c>
      <c r="AC404" s="1" t="s">
        <v>3</v>
      </c>
      <c r="AD404" s="1" t="s">
        <v>3</v>
      </c>
      <c r="AE404" s="1" t="s">
        <v>3</v>
      </c>
      <c r="AF404" s="1" t="s">
        <v>3</v>
      </c>
      <c r="AG404" s="1" t="s">
        <v>3</v>
      </c>
      <c r="AH404" s="1"/>
      <c r="AI404" s="1"/>
      <c r="AJ404" s="1"/>
      <c r="AK404" s="1"/>
      <c r="AL404" s="1"/>
      <c r="AM404" s="1"/>
      <c r="AN404" s="1"/>
      <c r="AO404" s="1"/>
      <c r="AP404" s="1" t="s">
        <v>3</v>
      </c>
      <c r="AQ404" s="1" t="s">
        <v>3</v>
      </c>
      <c r="AR404" s="1" t="s">
        <v>3</v>
      </c>
      <c r="AS404" s="1"/>
      <c r="AT404" s="1"/>
      <c r="AU404" s="1"/>
      <c r="AV404" s="1"/>
      <c r="AW404" s="1"/>
      <c r="AX404" s="1"/>
      <c r="AY404" s="1"/>
      <c r="AZ404" s="1" t="s">
        <v>3</v>
      </c>
      <c r="BA404" s="1"/>
      <c r="BB404" s="1" t="s">
        <v>3</v>
      </c>
      <c r="BC404" s="1" t="s">
        <v>3</v>
      </c>
      <c r="BD404" s="1" t="s">
        <v>3</v>
      </c>
      <c r="BE404" s="1" t="s">
        <v>3</v>
      </c>
      <c r="BF404" s="1" t="s">
        <v>3</v>
      </c>
      <c r="BG404" s="1" t="s">
        <v>3</v>
      </c>
      <c r="BH404" s="1" t="s">
        <v>3</v>
      </c>
      <c r="BI404" s="1" t="s">
        <v>3</v>
      </c>
      <c r="BJ404" s="1" t="s">
        <v>3</v>
      </c>
      <c r="BK404" s="1" t="s">
        <v>3</v>
      </c>
      <c r="BL404" s="1" t="s">
        <v>3</v>
      </c>
      <c r="BM404" s="1" t="s">
        <v>3</v>
      </c>
      <c r="BN404" s="1" t="s">
        <v>3</v>
      </c>
      <c r="BO404" s="1" t="s">
        <v>3</v>
      </c>
      <c r="BP404" s="1" t="s">
        <v>3</v>
      </c>
      <c r="BQ404" s="1"/>
      <c r="BR404" s="1"/>
      <c r="BS404" s="1"/>
      <c r="BT404" s="1"/>
      <c r="BU404" s="1"/>
      <c r="BV404" s="1"/>
      <c r="BW404" s="1"/>
      <c r="BX404" s="1">
        <v>0</v>
      </c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>
        <v>0</v>
      </c>
    </row>
    <row r="406" spans="1:245" x14ac:dyDescent="0.2">
      <c r="A406" s="2">
        <v>52</v>
      </c>
      <c r="B406" s="2">
        <f t="shared" ref="B406:G406" si="182">B456</f>
        <v>1</v>
      </c>
      <c r="C406" s="2">
        <f t="shared" si="182"/>
        <v>4</v>
      </c>
      <c r="D406" s="2">
        <f t="shared" si="182"/>
        <v>404</v>
      </c>
      <c r="E406" s="2">
        <f t="shared" si="182"/>
        <v>0</v>
      </c>
      <c r="F406" s="2" t="str">
        <f t="shared" si="182"/>
        <v>Новый раздел</v>
      </c>
      <c r="G406" s="2" t="str">
        <f t="shared" si="182"/>
        <v>Вентиляция и кондиционирование</v>
      </c>
      <c r="H406" s="2"/>
      <c r="I406" s="2"/>
      <c r="J406" s="2"/>
      <c r="K406" s="2"/>
      <c r="L406" s="2"/>
      <c r="M406" s="2"/>
      <c r="N406" s="2"/>
      <c r="O406" s="2">
        <f t="shared" ref="O406:AT406" si="183">O456</f>
        <v>27065.16</v>
      </c>
      <c r="P406" s="2">
        <f t="shared" si="183"/>
        <v>1.36</v>
      </c>
      <c r="Q406" s="2">
        <f t="shared" si="183"/>
        <v>1329.06</v>
      </c>
      <c r="R406" s="2">
        <f t="shared" si="183"/>
        <v>842.7</v>
      </c>
      <c r="S406" s="2">
        <f t="shared" si="183"/>
        <v>25734.74</v>
      </c>
      <c r="T406" s="2">
        <f t="shared" si="183"/>
        <v>0</v>
      </c>
      <c r="U406" s="2">
        <f t="shared" si="183"/>
        <v>39.719999999999992</v>
      </c>
      <c r="V406" s="2">
        <f t="shared" si="183"/>
        <v>0</v>
      </c>
      <c r="W406" s="2">
        <f t="shared" si="183"/>
        <v>0</v>
      </c>
      <c r="X406" s="2">
        <f t="shared" si="183"/>
        <v>18014.32</v>
      </c>
      <c r="Y406" s="2">
        <f t="shared" si="183"/>
        <v>2573.4699999999998</v>
      </c>
      <c r="Z406" s="2">
        <f t="shared" si="183"/>
        <v>0</v>
      </c>
      <c r="AA406" s="2">
        <f t="shared" si="183"/>
        <v>0</v>
      </c>
      <c r="AB406" s="2">
        <f t="shared" si="183"/>
        <v>0</v>
      </c>
      <c r="AC406" s="2">
        <f t="shared" si="183"/>
        <v>0</v>
      </c>
      <c r="AD406" s="2">
        <f t="shared" si="183"/>
        <v>0</v>
      </c>
      <c r="AE406" s="2">
        <f t="shared" si="183"/>
        <v>0</v>
      </c>
      <c r="AF406" s="2">
        <f t="shared" si="183"/>
        <v>0</v>
      </c>
      <c r="AG406" s="2">
        <f t="shared" si="183"/>
        <v>0</v>
      </c>
      <c r="AH406" s="2">
        <f t="shared" si="183"/>
        <v>0</v>
      </c>
      <c r="AI406" s="2">
        <f t="shared" si="183"/>
        <v>0</v>
      </c>
      <c r="AJ406" s="2">
        <f t="shared" si="183"/>
        <v>0</v>
      </c>
      <c r="AK406" s="2">
        <f t="shared" si="183"/>
        <v>0</v>
      </c>
      <c r="AL406" s="2">
        <f t="shared" si="183"/>
        <v>0</v>
      </c>
      <c r="AM406" s="2">
        <f t="shared" si="183"/>
        <v>0</v>
      </c>
      <c r="AN406" s="2">
        <f t="shared" si="183"/>
        <v>0</v>
      </c>
      <c r="AO406" s="2">
        <f t="shared" si="183"/>
        <v>0</v>
      </c>
      <c r="AP406" s="2">
        <f t="shared" si="183"/>
        <v>0</v>
      </c>
      <c r="AQ406" s="2">
        <f t="shared" si="183"/>
        <v>0</v>
      </c>
      <c r="AR406" s="2">
        <f t="shared" si="183"/>
        <v>48563.07</v>
      </c>
      <c r="AS406" s="2">
        <f t="shared" si="183"/>
        <v>0</v>
      </c>
      <c r="AT406" s="2">
        <f t="shared" si="183"/>
        <v>0</v>
      </c>
      <c r="AU406" s="2">
        <f t="shared" ref="AU406:BZ406" si="184">AU456</f>
        <v>48563.07</v>
      </c>
      <c r="AV406" s="2">
        <f t="shared" si="184"/>
        <v>1.36</v>
      </c>
      <c r="AW406" s="2">
        <f t="shared" si="184"/>
        <v>1.36</v>
      </c>
      <c r="AX406" s="2">
        <f t="shared" si="184"/>
        <v>0</v>
      </c>
      <c r="AY406" s="2">
        <f t="shared" si="184"/>
        <v>1.36</v>
      </c>
      <c r="AZ406" s="2">
        <f t="shared" si="184"/>
        <v>0</v>
      </c>
      <c r="BA406" s="2">
        <f t="shared" si="184"/>
        <v>0</v>
      </c>
      <c r="BB406" s="2">
        <f t="shared" si="184"/>
        <v>0</v>
      </c>
      <c r="BC406" s="2">
        <f t="shared" si="184"/>
        <v>0</v>
      </c>
      <c r="BD406" s="2">
        <f t="shared" si="184"/>
        <v>0</v>
      </c>
      <c r="BE406" s="2">
        <f t="shared" si="184"/>
        <v>0</v>
      </c>
      <c r="BF406" s="2">
        <f t="shared" si="184"/>
        <v>0</v>
      </c>
      <c r="BG406" s="2">
        <f t="shared" si="184"/>
        <v>0</v>
      </c>
      <c r="BH406" s="2">
        <f t="shared" si="184"/>
        <v>0</v>
      </c>
      <c r="BI406" s="2">
        <f t="shared" si="184"/>
        <v>0</v>
      </c>
      <c r="BJ406" s="2">
        <f t="shared" si="184"/>
        <v>0</v>
      </c>
      <c r="BK406" s="2">
        <f t="shared" si="184"/>
        <v>0</v>
      </c>
      <c r="BL406" s="2">
        <f t="shared" si="184"/>
        <v>0</v>
      </c>
      <c r="BM406" s="2">
        <f t="shared" si="184"/>
        <v>0</v>
      </c>
      <c r="BN406" s="2">
        <f t="shared" si="184"/>
        <v>0</v>
      </c>
      <c r="BO406" s="2">
        <f t="shared" si="184"/>
        <v>0</v>
      </c>
      <c r="BP406" s="2">
        <f t="shared" si="184"/>
        <v>0</v>
      </c>
      <c r="BQ406" s="2">
        <f t="shared" si="184"/>
        <v>0</v>
      </c>
      <c r="BR406" s="2">
        <f t="shared" si="184"/>
        <v>0</v>
      </c>
      <c r="BS406" s="2">
        <f t="shared" si="184"/>
        <v>0</v>
      </c>
      <c r="BT406" s="2">
        <f t="shared" si="184"/>
        <v>0</v>
      </c>
      <c r="BU406" s="2">
        <f t="shared" si="184"/>
        <v>0</v>
      </c>
      <c r="BV406" s="2">
        <f t="shared" si="184"/>
        <v>0</v>
      </c>
      <c r="BW406" s="2">
        <f t="shared" si="184"/>
        <v>0</v>
      </c>
      <c r="BX406" s="2">
        <f t="shared" si="184"/>
        <v>0</v>
      </c>
      <c r="BY406" s="2">
        <f t="shared" si="184"/>
        <v>0</v>
      </c>
      <c r="BZ406" s="2">
        <f t="shared" si="184"/>
        <v>0</v>
      </c>
      <c r="CA406" s="2">
        <f t="shared" ref="CA406:DF406" si="185">CA456</f>
        <v>0</v>
      </c>
      <c r="CB406" s="2">
        <f t="shared" si="185"/>
        <v>0</v>
      </c>
      <c r="CC406" s="2">
        <f t="shared" si="185"/>
        <v>0</v>
      </c>
      <c r="CD406" s="2">
        <f t="shared" si="185"/>
        <v>0</v>
      </c>
      <c r="CE406" s="2">
        <f t="shared" si="185"/>
        <v>0</v>
      </c>
      <c r="CF406" s="2">
        <f t="shared" si="185"/>
        <v>0</v>
      </c>
      <c r="CG406" s="2">
        <f t="shared" si="185"/>
        <v>0</v>
      </c>
      <c r="CH406" s="2">
        <f t="shared" si="185"/>
        <v>0</v>
      </c>
      <c r="CI406" s="2">
        <f t="shared" si="185"/>
        <v>0</v>
      </c>
      <c r="CJ406" s="2">
        <f t="shared" si="185"/>
        <v>0</v>
      </c>
      <c r="CK406" s="2">
        <f t="shared" si="185"/>
        <v>0</v>
      </c>
      <c r="CL406" s="2">
        <f t="shared" si="185"/>
        <v>0</v>
      </c>
      <c r="CM406" s="2">
        <f t="shared" si="185"/>
        <v>0</v>
      </c>
      <c r="CN406" s="2">
        <f t="shared" si="185"/>
        <v>0</v>
      </c>
      <c r="CO406" s="2">
        <f t="shared" si="185"/>
        <v>0</v>
      </c>
      <c r="CP406" s="2">
        <f t="shared" si="185"/>
        <v>0</v>
      </c>
      <c r="CQ406" s="2">
        <f t="shared" si="185"/>
        <v>0</v>
      </c>
      <c r="CR406" s="2">
        <f t="shared" si="185"/>
        <v>0</v>
      </c>
      <c r="CS406" s="2">
        <f t="shared" si="185"/>
        <v>0</v>
      </c>
      <c r="CT406" s="2">
        <f t="shared" si="185"/>
        <v>0</v>
      </c>
      <c r="CU406" s="2">
        <f t="shared" si="185"/>
        <v>0</v>
      </c>
      <c r="CV406" s="2">
        <f t="shared" si="185"/>
        <v>0</v>
      </c>
      <c r="CW406" s="2">
        <f t="shared" si="185"/>
        <v>0</v>
      </c>
      <c r="CX406" s="2">
        <f t="shared" si="185"/>
        <v>0</v>
      </c>
      <c r="CY406" s="2">
        <f t="shared" si="185"/>
        <v>0</v>
      </c>
      <c r="CZ406" s="2">
        <f t="shared" si="185"/>
        <v>0</v>
      </c>
      <c r="DA406" s="2">
        <f t="shared" si="185"/>
        <v>0</v>
      </c>
      <c r="DB406" s="2">
        <f t="shared" si="185"/>
        <v>0</v>
      </c>
      <c r="DC406" s="2">
        <f t="shared" si="185"/>
        <v>0</v>
      </c>
      <c r="DD406" s="2">
        <f t="shared" si="185"/>
        <v>0</v>
      </c>
      <c r="DE406" s="2">
        <f t="shared" si="185"/>
        <v>0</v>
      </c>
      <c r="DF406" s="2">
        <f t="shared" si="185"/>
        <v>0</v>
      </c>
      <c r="DG406" s="3">
        <f t="shared" ref="DG406:EL406" si="186">DG456</f>
        <v>0</v>
      </c>
      <c r="DH406" s="3">
        <f t="shared" si="186"/>
        <v>0</v>
      </c>
      <c r="DI406" s="3">
        <f t="shared" si="186"/>
        <v>0</v>
      </c>
      <c r="DJ406" s="3">
        <f t="shared" si="186"/>
        <v>0</v>
      </c>
      <c r="DK406" s="3">
        <f t="shared" si="186"/>
        <v>0</v>
      </c>
      <c r="DL406" s="3">
        <f t="shared" si="186"/>
        <v>0</v>
      </c>
      <c r="DM406" s="3">
        <f t="shared" si="186"/>
        <v>0</v>
      </c>
      <c r="DN406" s="3">
        <f t="shared" si="186"/>
        <v>0</v>
      </c>
      <c r="DO406" s="3">
        <f t="shared" si="186"/>
        <v>0</v>
      </c>
      <c r="DP406" s="3">
        <f t="shared" si="186"/>
        <v>0</v>
      </c>
      <c r="DQ406" s="3">
        <f t="shared" si="186"/>
        <v>0</v>
      </c>
      <c r="DR406" s="3">
        <f t="shared" si="186"/>
        <v>0</v>
      </c>
      <c r="DS406" s="3">
        <f t="shared" si="186"/>
        <v>0</v>
      </c>
      <c r="DT406" s="3">
        <f t="shared" si="186"/>
        <v>0</v>
      </c>
      <c r="DU406" s="3">
        <f t="shared" si="186"/>
        <v>0</v>
      </c>
      <c r="DV406" s="3">
        <f t="shared" si="186"/>
        <v>0</v>
      </c>
      <c r="DW406" s="3">
        <f t="shared" si="186"/>
        <v>0</v>
      </c>
      <c r="DX406" s="3">
        <f t="shared" si="186"/>
        <v>0</v>
      </c>
      <c r="DY406" s="3">
        <f t="shared" si="186"/>
        <v>0</v>
      </c>
      <c r="DZ406" s="3">
        <f t="shared" si="186"/>
        <v>0</v>
      </c>
      <c r="EA406" s="3">
        <f t="shared" si="186"/>
        <v>0</v>
      </c>
      <c r="EB406" s="3">
        <f t="shared" si="186"/>
        <v>0</v>
      </c>
      <c r="EC406" s="3">
        <f t="shared" si="186"/>
        <v>0</v>
      </c>
      <c r="ED406" s="3">
        <f t="shared" si="186"/>
        <v>0</v>
      </c>
      <c r="EE406" s="3">
        <f t="shared" si="186"/>
        <v>0</v>
      </c>
      <c r="EF406" s="3">
        <f t="shared" si="186"/>
        <v>0</v>
      </c>
      <c r="EG406" s="3">
        <f t="shared" si="186"/>
        <v>0</v>
      </c>
      <c r="EH406" s="3">
        <f t="shared" si="186"/>
        <v>0</v>
      </c>
      <c r="EI406" s="3">
        <f t="shared" si="186"/>
        <v>0</v>
      </c>
      <c r="EJ406" s="3">
        <f t="shared" si="186"/>
        <v>0</v>
      </c>
      <c r="EK406" s="3">
        <f t="shared" si="186"/>
        <v>0</v>
      </c>
      <c r="EL406" s="3">
        <f t="shared" si="186"/>
        <v>0</v>
      </c>
      <c r="EM406" s="3">
        <f t="shared" ref="EM406:FR406" si="187">EM456</f>
        <v>0</v>
      </c>
      <c r="EN406" s="3">
        <f t="shared" si="187"/>
        <v>0</v>
      </c>
      <c r="EO406" s="3">
        <f t="shared" si="187"/>
        <v>0</v>
      </c>
      <c r="EP406" s="3">
        <f t="shared" si="187"/>
        <v>0</v>
      </c>
      <c r="EQ406" s="3">
        <f t="shared" si="187"/>
        <v>0</v>
      </c>
      <c r="ER406" s="3">
        <f t="shared" si="187"/>
        <v>0</v>
      </c>
      <c r="ES406" s="3">
        <f t="shared" si="187"/>
        <v>0</v>
      </c>
      <c r="ET406" s="3">
        <f t="shared" si="187"/>
        <v>0</v>
      </c>
      <c r="EU406" s="3">
        <f t="shared" si="187"/>
        <v>0</v>
      </c>
      <c r="EV406" s="3">
        <f t="shared" si="187"/>
        <v>0</v>
      </c>
      <c r="EW406" s="3">
        <f t="shared" si="187"/>
        <v>0</v>
      </c>
      <c r="EX406" s="3">
        <f t="shared" si="187"/>
        <v>0</v>
      </c>
      <c r="EY406" s="3">
        <f t="shared" si="187"/>
        <v>0</v>
      </c>
      <c r="EZ406" s="3">
        <f t="shared" si="187"/>
        <v>0</v>
      </c>
      <c r="FA406" s="3">
        <f t="shared" si="187"/>
        <v>0</v>
      </c>
      <c r="FB406" s="3">
        <f t="shared" si="187"/>
        <v>0</v>
      </c>
      <c r="FC406" s="3">
        <f t="shared" si="187"/>
        <v>0</v>
      </c>
      <c r="FD406" s="3">
        <f t="shared" si="187"/>
        <v>0</v>
      </c>
      <c r="FE406" s="3">
        <f t="shared" si="187"/>
        <v>0</v>
      </c>
      <c r="FF406" s="3">
        <f t="shared" si="187"/>
        <v>0</v>
      </c>
      <c r="FG406" s="3">
        <f t="shared" si="187"/>
        <v>0</v>
      </c>
      <c r="FH406" s="3">
        <f t="shared" si="187"/>
        <v>0</v>
      </c>
      <c r="FI406" s="3">
        <f t="shared" si="187"/>
        <v>0</v>
      </c>
      <c r="FJ406" s="3">
        <f t="shared" si="187"/>
        <v>0</v>
      </c>
      <c r="FK406" s="3">
        <f t="shared" si="187"/>
        <v>0</v>
      </c>
      <c r="FL406" s="3">
        <f t="shared" si="187"/>
        <v>0</v>
      </c>
      <c r="FM406" s="3">
        <f t="shared" si="187"/>
        <v>0</v>
      </c>
      <c r="FN406" s="3">
        <f t="shared" si="187"/>
        <v>0</v>
      </c>
      <c r="FO406" s="3">
        <f t="shared" si="187"/>
        <v>0</v>
      </c>
      <c r="FP406" s="3">
        <f t="shared" si="187"/>
        <v>0</v>
      </c>
      <c r="FQ406" s="3">
        <f t="shared" si="187"/>
        <v>0</v>
      </c>
      <c r="FR406" s="3">
        <f t="shared" si="187"/>
        <v>0</v>
      </c>
      <c r="FS406" s="3">
        <f t="shared" ref="FS406:GX406" si="188">FS456</f>
        <v>0</v>
      </c>
      <c r="FT406" s="3">
        <f t="shared" si="188"/>
        <v>0</v>
      </c>
      <c r="FU406" s="3">
        <f t="shared" si="188"/>
        <v>0</v>
      </c>
      <c r="FV406" s="3">
        <f t="shared" si="188"/>
        <v>0</v>
      </c>
      <c r="FW406" s="3">
        <f t="shared" si="188"/>
        <v>0</v>
      </c>
      <c r="FX406" s="3">
        <f t="shared" si="188"/>
        <v>0</v>
      </c>
      <c r="FY406" s="3">
        <f t="shared" si="188"/>
        <v>0</v>
      </c>
      <c r="FZ406" s="3">
        <f t="shared" si="188"/>
        <v>0</v>
      </c>
      <c r="GA406" s="3">
        <f t="shared" si="188"/>
        <v>0</v>
      </c>
      <c r="GB406" s="3">
        <f t="shared" si="188"/>
        <v>0</v>
      </c>
      <c r="GC406" s="3">
        <f t="shared" si="188"/>
        <v>0</v>
      </c>
      <c r="GD406" s="3">
        <f t="shared" si="188"/>
        <v>0</v>
      </c>
      <c r="GE406" s="3">
        <f t="shared" si="188"/>
        <v>0</v>
      </c>
      <c r="GF406" s="3">
        <f t="shared" si="188"/>
        <v>0</v>
      </c>
      <c r="GG406" s="3">
        <f t="shared" si="188"/>
        <v>0</v>
      </c>
      <c r="GH406" s="3">
        <f t="shared" si="188"/>
        <v>0</v>
      </c>
      <c r="GI406" s="3">
        <f t="shared" si="188"/>
        <v>0</v>
      </c>
      <c r="GJ406" s="3">
        <f t="shared" si="188"/>
        <v>0</v>
      </c>
      <c r="GK406" s="3">
        <f t="shared" si="188"/>
        <v>0</v>
      </c>
      <c r="GL406" s="3">
        <f t="shared" si="188"/>
        <v>0</v>
      </c>
      <c r="GM406" s="3">
        <f t="shared" si="188"/>
        <v>0</v>
      </c>
      <c r="GN406" s="3">
        <f t="shared" si="188"/>
        <v>0</v>
      </c>
      <c r="GO406" s="3">
        <f t="shared" si="188"/>
        <v>0</v>
      </c>
      <c r="GP406" s="3">
        <f t="shared" si="188"/>
        <v>0</v>
      </c>
      <c r="GQ406" s="3">
        <f t="shared" si="188"/>
        <v>0</v>
      </c>
      <c r="GR406" s="3">
        <f t="shared" si="188"/>
        <v>0</v>
      </c>
      <c r="GS406" s="3">
        <f t="shared" si="188"/>
        <v>0</v>
      </c>
      <c r="GT406" s="3">
        <f t="shared" si="188"/>
        <v>0</v>
      </c>
      <c r="GU406" s="3">
        <f t="shared" si="188"/>
        <v>0</v>
      </c>
      <c r="GV406" s="3">
        <f t="shared" si="188"/>
        <v>0</v>
      </c>
      <c r="GW406" s="3">
        <f t="shared" si="188"/>
        <v>0</v>
      </c>
      <c r="GX406" s="3">
        <f t="shared" si="188"/>
        <v>0</v>
      </c>
    </row>
    <row r="408" spans="1:245" x14ac:dyDescent="0.2">
      <c r="A408" s="1">
        <v>5</v>
      </c>
      <c r="B408" s="1">
        <v>1</v>
      </c>
      <c r="C408" s="1"/>
      <c r="D408" s="1">
        <f>ROW(A426)</f>
        <v>426</v>
      </c>
      <c r="E408" s="1"/>
      <c r="F408" s="1" t="s">
        <v>14</v>
      </c>
      <c r="G408" s="1" t="s">
        <v>165</v>
      </c>
      <c r="H408" s="1" t="s">
        <v>3</v>
      </c>
      <c r="I408" s="1">
        <v>0</v>
      </c>
      <c r="J408" s="1"/>
      <c r="K408" s="1">
        <v>-1</v>
      </c>
      <c r="L408" s="1"/>
      <c r="M408" s="1" t="s">
        <v>3</v>
      </c>
      <c r="N408" s="1"/>
      <c r="O408" s="1"/>
      <c r="P408" s="1"/>
      <c r="Q408" s="1"/>
      <c r="R408" s="1"/>
      <c r="S408" s="1">
        <v>0</v>
      </c>
      <c r="T408" s="1"/>
      <c r="U408" s="1" t="s">
        <v>3</v>
      </c>
      <c r="V408" s="1">
        <v>0</v>
      </c>
      <c r="W408" s="1"/>
      <c r="X408" s="1"/>
      <c r="Y408" s="1"/>
      <c r="Z408" s="1"/>
      <c r="AA408" s="1"/>
      <c r="AB408" s="1" t="s">
        <v>3</v>
      </c>
      <c r="AC408" s="1" t="s">
        <v>3</v>
      </c>
      <c r="AD408" s="1" t="s">
        <v>3</v>
      </c>
      <c r="AE408" s="1" t="s">
        <v>3</v>
      </c>
      <c r="AF408" s="1" t="s">
        <v>3</v>
      </c>
      <c r="AG408" s="1" t="s">
        <v>3</v>
      </c>
      <c r="AH408" s="1"/>
      <c r="AI408" s="1"/>
      <c r="AJ408" s="1"/>
      <c r="AK408" s="1"/>
      <c r="AL408" s="1"/>
      <c r="AM408" s="1"/>
      <c r="AN408" s="1"/>
      <c r="AO408" s="1"/>
      <c r="AP408" s="1" t="s">
        <v>3</v>
      </c>
      <c r="AQ408" s="1" t="s">
        <v>3</v>
      </c>
      <c r="AR408" s="1" t="s">
        <v>3</v>
      </c>
      <c r="AS408" s="1"/>
      <c r="AT408" s="1"/>
      <c r="AU408" s="1"/>
      <c r="AV408" s="1"/>
      <c r="AW408" s="1"/>
      <c r="AX408" s="1"/>
      <c r="AY408" s="1"/>
      <c r="AZ408" s="1" t="s">
        <v>3</v>
      </c>
      <c r="BA408" s="1"/>
      <c r="BB408" s="1" t="s">
        <v>3</v>
      </c>
      <c r="BC408" s="1" t="s">
        <v>3</v>
      </c>
      <c r="BD408" s="1" t="s">
        <v>3</v>
      </c>
      <c r="BE408" s="1" t="s">
        <v>3</v>
      </c>
      <c r="BF408" s="1" t="s">
        <v>3</v>
      </c>
      <c r="BG408" s="1" t="s">
        <v>3</v>
      </c>
      <c r="BH408" s="1" t="s">
        <v>3</v>
      </c>
      <c r="BI408" s="1" t="s">
        <v>3</v>
      </c>
      <c r="BJ408" s="1" t="s">
        <v>3</v>
      </c>
      <c r="BK408" s="1" t="s">
        <v>3</v>
      </c>
      <c r="BL408" s="1" t="s">
        <v>3</v>
      </c>
      <c r="BM408" s="1" t="s">
        <v>3</v>
      </c>
      <c r="BN408" s="1" t="s">
        <v>3</v>
      </c>
      <c r="BO408" s="1" t="s">
        <v>3</v>
      </c>
      <c r="BP408" s="1" t="s">
        <v>3</v>
      </c>
      <c r="BQ408" s="1"/>
      <c r="BR408" s="1"/>
      <c r="BS408" s="1"/>
      <c r="BT408" s="1"/>
      <c r="BU408" s="1"/>
      <c r="BV408" s="1"/>
      <c r="BW408" s="1"/>
      <c r="BX408" s="1">
        <v>0</v>
      </c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>
        <v>0</v>
      </c>
    </row>
    <row r="410" spans="1:245" x14ac:dyDescent="0.2">
      <c r="A410" s="2">
        <v>52</v>
      </c>
      <c r="B410" s="2">
        <f t="shared" ref="B410:G410" si="189">B426</f>
        <v>1</v>
      </c>
      <c r="C410" s="2">
        <f t="shared" si="189"/>
        <v>5</v>
      </c>
      <c r="D410" s="2">
        <f t="shared" si="189"/>
        <v>408</v>
      </c>
      <c r="E410" s="2">
        <f t="shared" si="189"/>
        <v>0</v>
      </c>
      <c r="F410" s="2" t="str">
        <f t="shared" si="189"/>
        <v>Новый подраздел</v>
      </c>
      <c r="G410" s="2" t="str">
        <f t="shared" si="189"/>
        <v>Вентиляция</v>
      </c>
      <c r="H410" s="2"/>
      <c r="I410" s="2"/>
      <c r="J410" s="2"/>
      <c r="K410" s="2"/>
      <c r="L410" s="2"/>
      <c r="M410" s="2"/>
      <c r="N410" s="2"/>
      <c r="O410" s="2">
        <f t="shared" ref="O410:AT410" si="190">O426</f>
        <v>27065.16</v>
      </c>
      <c r="P410" s="2">
        <f t="shared" si="190"/>
        <v>1.36</v>
      </c>
      <c r="Q410" s="2">
        <f t="shared" si="190"/>
        <v>1329.06</v>
      </c>
      <c r="R410" s="2">
        <f t="shared" si="190"/>
        <v>842.7</v>
      </c>
      <c r="S410" s="2">
        <f t="shared" si="190"/>
        <v>25734.74</v>
      </c>
      <c r="T410" s="2">
        <f t="shared" si="190"/>
        <v>0</v>
      </c>
      <c r="U410" s="2">
        <f t="shared" si="190"/>
        <v>39.719999999999992</v>
      </c>
      <c r="V410" s="2">
        <f t="shared" si="190"/>
        <v>0</v>
      </c>
      <c r="W410" s="2">
        <f t="shared" si="190"/>
        <v>0</v>
      </c>
      <c r="X410" s="2">
        <f t="shared" si="190"/>
        <v>18014.32</v>
      </c>
      <c r="Y410" s="2">
        <f t="shared" si="190"/>
        <v>2573.4699999999998</v>
      </c>
      <c r="Z410" s="2">
        <f t="shared" si="190"/>
        <v>0</v>
      </c>
      <c r="AA410" s="2">
        <f t="shared" si="190"/>
        <v>0</v>
      </c>
      <c r="AB410" s="2">
        <f t="shared" si="190"/>
        <v>27065.16</v>
      </c>
      <c r="AC410" s="2">
        <f t="shared" si="190"/>
        <v>1.36</v>
      </c>
      <c r="AD410" s="2">
        <f t="shared" si="190"/>
        <v>1329.06</v>
      </c>
      <c r="AE410" s="2">
        <f t="shared" si="190"/>
        <v>842.7</v>
      </c>
      <c r="AF410" s="2">
        <f t="shared" si="190"/>
        <v>25734.74</v>
      </c>
      <c r="AG410" s="2">
        <f t="shared" si="190"/>
        <v>0</v>
      </c>
      <c r="AH410" s="2">
        <f t="shared" si="190"/>
        <v>39.719999999999992</v>
      </c>
      <c r="AI410" s="2">
        <f t="shared" si="190"/>
        <v>0</v>
      </c>
      <c r="AJ410" s="2">
        <f t="shared" si="190"/>
        <v>0</v>
      </c>
      <c r="AK410" s="2">
        <f t="shared" si="190"/>
        <v>18014.32</v>
      </c>
      <c r="AL410" s="2">
        <f t="shared" si="190"/>
        <v>2573.4699999999998</v>
      </c>
      <c r="AM410" s="2">
        <f t="shared" si="190"/>
        <v>0</v>
      </c>
      <c r="AN410" s="2">
        <f t="shared" si="190"/>
        <v>0</v>
      </c>
      <c r="AO410" s="2">
        <f t="shared" si="190"/>
        <v>0</v>
      </c>
      <c r="AP410" s="2">
        <f t="shared" si="190"/>
        <v>0</v>
      </c>
      <c r="AQ410" s="2">
        <f t="shared" si="190"/>
        <v>0</v>
      </c>
      <c r="AR410" s="2">
        <f t="shared" si="190"/>
        <v>48563.07</v>
      </c>
      <c r="AS410" s="2">
        <f t="shared" si="190"/>
        <v>0</v>
      </c>
      <c r="AT410" s="2">
        <f t="shared" si="190"/>
        <v>0</v>
      </c>
      <c r="AU410" s="2">
        <f t="shared" ref="AU410:BZ410" si="191">AU426</f>
        <v>48563.07</v>
      </c>
      <c r="AV410" s="2">
        <f t="shared" si="191"/>
        <v>1.36</v>
      </c>
      <c r="AW410" s="2">
        <f t="shared" si="191"/>
        <v>1.36</v>
      </c>
      <c r="AX410" s="2">
        <f t="shared" si="191"/>
        <v>0</v>
      </c>
      <c r="AY410" s="2">
        <f t="shared" si="191"/>
        <v>1.36</v>
      </c>
      <c r="AZ410" s="2">
        <f t="shared" si="191"/>
        <v>0</v>
      </c>
      <c r="BA410" s="2">
        <f t="shared" si="191"/>
        <v>0</v>
      </c>
      <c r="BB410" s="2">
        <f t="shared" si="191"/>
        <v>0</v>
      </c>
      <c r="BC410" s="2">
        <f t="shared" si="191"/>
        <v>0</v>
      </c>
      <c r="BD410" s="2">
        <f t="shared" si="191"/>
        <v>0</v>
      </c>
      <c r="BE410" s="2">
        <f t="shared" si="191"/>
        <v>0</v>
      </c>
      <c r="BF410" s="2">
        <f t="shared" si="191"/>
        <v>0</v>
      </c>
      <c r="BG410" s="2">
        <f t="shared" si="191"/>
        <v>0</v>
      </c>
      <c r="BH410" s="2">
        <f t="shared" si="191"/>
        <v>0</v>
      </c>
      <c r="BI410" s="2">
        <f t="shared" si="191"/>
        <v>0</v>
      </c>
      <c r="BJ410" s="2">
        <f t="shared" si="191"/>
        <v>0</v>
      </c>
      <c r="BK410" s="2">
        <f t="shared" si="191"/>
        <v>0</v>
      </c>
      <c r="BL410" s="2">
        <f t="shared" si="191"/>
        <v>0</v>
      </c>
      <c r="BM410" s="2">
        <f t="shared" si="191"/>
        <v>0</v>
      </c>
      <c r="BN410" s="2">
        <f t="shared" si="191"/>
        <v>0</v>
      </c>
      <c r="BO410" s="2">
        <f t="shared" si="191"/>
        <v>0</v>
      </c>
      <c r="BP410" s="2">
        <f t="shared" si="191"/>
        <v>0</v>
      </c>
      <c r="BQ410" s="2">
        <f t="shared" si="191"/>
        <v>0</v>
      </c>
      <c r="BR410" s="2">
        <f t="shared" si="191"/>
        <v>0</v>
      </c>
      <c r="BS410" s="2">
        <f t="shared" si="191"/>
        <v>0</v>
      </c>
      <c r="BT410" s="2">
        <f t="shared" si="191"/>
        <v>0</v>
      </c>
      <c r="BU410" s="2">
        <f t="shared" si="191"/>
        <v>0</v>
      </c>
      <c r="BV410" s="2">
        <f t="shared" si="191"/>
        <v>0</v>
      </c>
      <c r="BW410" s="2">
        <f t="shared" si="191"/>
        <v>0</v>
      </c>
      <c r="BX410" s="2">
        <f t="shared" si="191"/>
        <v>0</v>
      </c>
      <c r="BY410" s="2">
        <f t="shared" si="191"/>
        <v>0</v>
      </c>
      <c r="BZ410" s="2">
        <f t="shared" si="191"/>
        <v>0</v>
      </c>
      <c r="CA410" s="2">
        <f t="shared" ref="CA410:DF410" si="192">CA426</f>
        <v>48563.07</v>
      </c>
      <c r="CB410" s="2">
        <f t="shared" si="192"/>
        <v>0</v>
      </c>
      <c r="CC410" s="2">
        <f t="shared" si="192"/>
        <v>0</v>
      </c>
      <c r="CD410" s="2">
        <f t="shared" si="192"/>
        <v>48563.07</v>
      </c>
      <c r="CE410" s="2">
        <f t="shared" si="192"/>
        <v>1.36</v>
      </c>
      <c r="CF410" s="2">
        <f t="shared" si="192"/>
        <v>1.36</v>
      </c>
      <c r="CG410" s="2">
        <f t="shared" si="192"/>
        <v>0</v>
      </c>
      <c r="CH410" s="2">
        <f t="shared" si="192"/>
        <v>1.36</v>
      </c>
      <c r="CI410" s="2">
        <f t="shared" si="192"/>
        <v>0</v>
      </c>
      <c r="CJ410" s="2">
        <f t="shared" si="192"/>
        <v>0</v>
      </c>
      <c r="CK410" s="2">
        <f t="shared" si="192"/>
        <v>0</v>
      </c>
      <c r="CL410" s="2">
        <f t="shared" si="192"/>
        <v>0</v>
      </c>
      <c r="CM410" s="2">
        <f t="shared" si="192"/>
        <v>0</v>
      </c>
      <c r="CN410" s="2">
        <f t="shared" si="192"/>
        <v>0</v>
      </c>
      <c r="CO410" s="2">
        <f t="shared" si="192"/>
        <v>0</v>
      </c>
      <c r="CP410" s="2">
        <f t="shared" si="192"/>
        <v>0</v>
      </c>
      <c r="CQ410" s="2">
        <f t="shared" si="192"/>
        <v>0</v>
      </c>
      <c r="CR410" s="2">
        <f t="shared" si="192"/>
        <v>0</v>
      </c>
      <c r="CS410" s="2">
        <f t="shared" si="192"/>
        <v>0</v>
      </c>
      <c r="CT410" s="2">
        <f t="shared" si="192"/>
        <v>0</v>
      </c>
      <c r="CU410" s="2">
        <f t="shared" si="192"/>
        <v>0</v>
      </c>
      <c r="CV410" s="2">
        <f t="shared" si="192"/>
        <v>0</v>
      </c>
      <c r="CW410" s="2">
        <f t="shared" si="192"/>
        <v>0</v>
      </c>
      <c r="CX410" s="2">
        <f t="shared" si="192"/>
        <v>0</v>
      </c>
      <c r="CY410" s="2">
        <f t="shared" si="192"/>
        <v>0</v>
      </c>
      <c r="CZ410" s="2">
        <f t="shared" si="192"/>
        <v>0</v>
      </c>
      <c r="DA410" s="2">
        <f t="shared" si="192"/>
        <v>0</v>
      </c>
      <c r="DB410" s="2">
        <f t="shared" si="192"/>
        <v>0</v>
      </c>
      <c r="DC410" s="2">
        <f t="shared" si="192"/>
        <v>0</v>
      </c>
      <c r="DD410" s="2">
        <f t="shared" si="192"/>
        <v>0</v>
      </c>
      <c r="DE410" s="2">
        <f t="shared" si="192"/>
        <v>0</v>
      </c>
      <c r="DF410" s="2">
        <f t="shared" si="192"/>
        <v>0</v>
      </c>
      <c r="DG410" s="3">
        <f t="shared" ref="DG410:EL410" si="193">DG426</f>
        <v>0</v>
      </c>
      <c r="DH410" s="3">
        <f t="shared" si="193"/>
        <v>0</v>
      </c>
      <c r="DI410" s="3">
        <f t="shared" si="193"/>
        <v>0</v>
      </c>
      <c r="DJ410" s="3">
        <f t="shared" si="193"/>
        <v>0</v>
      </c>
      <c r="DK410" s="3">
        <f t="shared" si="193"/>
        <v>0</v>
      </c>
      <c r="DL410" s="3">
        <f t="shared" si="193"/>
        <v>0</v>
      </c>
      <c r="DM410" s="3">
        <f t="shared" si="193"/>
        <v>0</v>
      </c>
      <c r="DN410" s="3">
        <f t="shared" si="193"/>
        <v>0</v>
      </c>
      <c r="DO410" s="3">
        <f t="shared" si="193"/>
        <v>0</v>
      </c>
      <c r="DP410" s="3">
        <f t="shared" si="193"/>
        <v>0</v>
      </c>
      <c r="DQ410" s="3">
        <f t="shared" si="193"/>
        <v>0</v>
      </c>
      <c r="DR410" s="3">
        <f t="shared" si="193"/>
        <v>0</v>
      </c>
      <c r="DS410" s="3">
        <f t="shared" si="193"/>
        <v>0</v>
      </c>
      <c r="DT410" s="3">
        <f t="shared" si="193"/>
        <v>0</v>
      </c>
      <c r="DU410" s="3">
        <f t="shared" si="193"/>
        <v>0</v>
      </c>
      <c r="DV410" s="3">
        <f t="shared" si="193"/>
        <v>0</v>
      </c>
      <c r="DW410" s="3">
        <f t="shared" si="193"/>
        <v>0</v>
      </c>
      <c r="DX410" s="3">
        <f t="shared" si="193"/>
        <v>0</v>
      </c>
      <c r="DY410" s="3">
        <f t="shared" si="193"/>
        <v>0</v>
      </c>
      <c r="DZ410" s="3">
        <f t="shared" si="193"/>
        <v>0</v>
      </c>
      <c r="EA410" s="3">
        <f t="shared" si="193"/>
        <v>0</v>
      </c>
      <c r="EB410" s="3">
        <f t="shared" si="193"/>
        <v>0</v>
      </c>
      <c r="EC410" s="3">
        <f t="shared" si="193"/>
        <v>0</v>
      </c>
      <c r="ED410" s="3">
        <f t="shared" si="193"/>
        <v>0</v>
      </c>
      <c r="EE410" s="3">
        <f t="shared" si="193"/>
        <v>0</v>
      </c>
      <c r="EF410" s="3">
        <f t="shared" si="193"/>
        <v>0</v>
      </c>
      <c r="EG410" s="3">
        <f t="shared" si="193"/>
        <v>0</v>
      </c>
      <c r="EH410" s="3">
        <f t="shared" si="193"/>
        <v>0</v>
      </c>
      <c r="EI410" s="3">
        <f t="shared" si="193"/>
        <v>0</v>
      </c>
      <c r="EJ410" s="3">
        <f t="shared" si="193"/>
        <v>0</v>
      </c>
      <c r="EK410" s="3">
        <f t="shared" si="193"/>
        <v>0</v>
      </c>
      <c r="EL410" s="3">
        <f t="shared" si="193"/>
        <v>0</v>
      </c>
      <c r="EM410" s="3">
        <f t="shared" ref="EM410:FR410" si="194">EM426</f>
        <v>0</v>
      </c>
      <c r="EN410" s="3">
        <f t="shared" si="194"/>
        <v>0</v>
      </c>
      <c r="EO410" s="3">
        <f t="shared" si="194"/>
        <v>0</v>
      </c>
      <c r="EP410" s="3">
        <f t="shared" si="194"/>
        <v>0</v>
      </c>
      <c r="EQ410" s="3">
        <f t="shared" si="194"/>
        <v>0</v>
      </c>
      <c r="ER410" s="3">
        <f t="shared" si="194"/>
        <v>0</v>
      </c>
      <c r="ES410" s="3">
        <f t="shared" si="194"/>
        <v>0</v>
      </c>
      <c r="ET410" s="3">
        <f t="shared" si="194"/>
        <v>0</v>
      </c>
      <c r="EU410" s="3">
        <f t="shared" si="194"/>
        <v>0</v>
      </c>
      <c r="EV410" s="3">
        <f t="shared" si="194"/>
        <v>0</v>
      </c>
      <c r="EW410" s="3">
        <f t="shared" si="194"/>
        <v>0</v>
      </c>
      <c r="EX410" s="3">
        <f t="shared" si="194"/>
        <v>0</v>
      </c>
      <c r="EY410" s="3">
        <f t="shared" si="194"/>
        <v>0</v>
      </c>
      <c r="EZ410" s="3">
        <f t="shared" si="194"/>
        <v>0</v>
      </c>
      <c r="FA410" s="3">
        <f t="shared" si="194"/>
        <v>0</v>
      </c>
      <c r="FB410" s="3">
        <f t="shared" si="194"/>
        <v>0</v>
      </c>
      <c r="FC410" s="3">
        <f t="shared" si="194"/>
        <v>0</v>
      </c>
      <c r="FD410" s="3">
        <f t="shared" si="194"/>
        <v>0</v>
      </c>
      <c r="FE410" s="3">
        <f t="shared" si="194"/>
        <v>0</v>
      </c>
      <c r="FF410" s="3">
        <f t="shared" si="194"/>
        <v>0</v>
      </c>
      <c r="FG410" s="3">
        <f t="shared" si="194"/>
        <v>0</v>
      </c>
      <c r="FH410" s="3">
        <f t="shared" si="194"/>
        <v>0</v>
      </c>
      <c r="FI410" s="3">
        <f t="shared" si="194"/>
        <v>0</v>
      </c>
      <c r="FJ410" s="3">
        <f t="shared" si="194"/>
        <v>0</v>
      </c>
      <c r="FK410" s="3">
        <f t="shared" si="194"/>
        <v>0</v>
      </c>
      <c r="FL410" s="3">
        <f t="shared" si="194"/>
        <v>0</v>
      </c>
      <c r="FM410" s="3">
        <f t="shared" si="194"/>
        <v>0</v>
      </c>
      <c r="FN410" s="3">
        <f t="shared" si="194"/>
        <v>0</v>
      </c>
      <c r="FO410" s="3">
        <f t="shared" si="194"/>
        <v>0</v>
      </c>
      <c r="FP410" s="3">
        <f t="shared" si="194"/>
        <v>0</v>
      </c>
      <c r="FQ410" s="3">
        <f t="shared" si="194"/>
        <v>0</v>
      </c>
      <c r="FR410" s="3">
        <f t="shared" si="194"/>
        <v>0</v>
      </c>
      <c r="FS410" s="3">
        <f t="shared" ref="FS410:GX410" si="195">FS426</f>
        <v>0</v>
      </c>
      <c r="FT410" s="3">
        <f t="shared" si="195"/>
        <v>0</v>
      </c>
      <c r="FU410" s="3">
        <f t="shared" si="195"/>
        <v>0</v>
      </c>
      <c r="FV410" s="3">
        <f t="shared" si="195"/>
        <v>0</v>
      </c>
      <c r="FW410" s="3">
        <f t="shared" si="195"/>
        <v>0</v>
      </c>
      <c r="FX410" s="3">
        <f t="shared" si="195"/>
        <v>0</v>
      </c>
      <c r="FY410" s="3">
        <f t="shared" si="195"/>
        <v>0</v>
      </c>
      <c r="FZ410" s="3">
        <f t="shared" si="195"/>
        <v>0</v>
      </c>
      <c r="GA410" s="3">
        <f t="shared" si="195"/>
        <v>0</v>
      </c>
      <c r="GB410" s="3">
        <f t="shared" si="195"/>
        <v>0</v>
      </c>
      <c r="GC410" s="3">
        <f t="shared" si="195"/>
        <v>0</v>
      </c>
      <c r="GD410" s="3">
        <f t="shared" si="195"/>
        <v>0</v>
      </c>
      <c r="GE410" s="3">
        <f t="shared" si="195"/>
        <v>0</v>
      </c>
      <c r="GF410" s="3">
        <f t="shared" si="195"/>
        <v>0</v>
      </c>
      <c r="GG410" s="3">
        <f t="shared" si="195"/>
        <v>0</v>
      </c>
      <c r="GH410" s="3">
        <f t="shared" si="195"/>
        <v>0</v>
      </c>
      <c r="GI410" s="3">
        <f t="shared" si="195"/>
        <v>0</v>
      </c>
      <c r="GJ410" s="3">
        <f t="shared" si="195"/>
        <v>0</v>
      </c>
      <c r="GK410" s="3">
        <f t="shared" si="195"/>
        <v>0</v>
      </c>
      <c r="GL410" s="3">
        <f t="shared" si="195"/>
        <v>0</v>
      </c>
      <c r="GM410" s="3">
        <f t="shared" si="195"/>
        <v>0</v>
      </c>
      <c r="GN410" s="3">
        <f t="shared" si="195"/>
        <v>0</v>
      </c>
      <c r="GO410" s="3">
        <f t="shared" si="195"/>
        <v>0</v>
      </c>
      <c r="GP410" s="3">
        <f t="shared" si="195"/>
        <v>0</v>
      </c>
      <c r="GQ410" s="3">
        <f t="shared" si="195"/>
        <v>0</v>
      </c>
      <c r="GR410" s="3">
        <f t="shared" si="195"/>
        <v>0</v>
      </c>
      <c r="GS410" s="3">
        <f t="shared" si="195"/>
        <v>0</v>
      </c>
      <c r="GT410" s="3">
        <f t="shared" si="195"/>
        <v>0</v>
      </c>
      <c r="GU410" s="3">
        <f t="shared" si="195"/>
        <v>0</v>
      </c>
      <c r="GV410" s="3">
        <f t="shared" si="195"/>
        <v>0</v>
      </c>
      <c r="GW410" s="3">
        <f t="shared" si="195"/>
        <v>0</v>
      </c>
      <c r="GX410" s="3">
        <f t="shared" si="195"/>
        <v>0</v>
      </c>
    </row>
    <row r="412" spans="1:245" x14ac:dyDescent="0.2">
      <c r="A412">
        <v>17</v>
      </c>
      <c r="B412">
        <v>1</v>
      </c>
      <c r="D412">
        <f>ROW(EtalonRes!A62)</f>
        <v>62</v>
      </c>
      <c r="E412" t="s">
        <v>3</v>
      </c>
      <c r="F412" t="s">
        <v>166</v>
      </c>
      <c r="G412" t="s">
        <v>167</v>
      </c>
      <c r="H412" t="s">
        <v>168</v>
      </c>
      <c r="I412">
        <f>ROUND((0)/100,9)</f>
        <v>0</v>
      </c>
      <c r="J412">
        <v>0</v>
      </c>
      <c r="K412">
        <f>ROUND((0)/100,9)</f>
        <v>0</v>
      </c>
      <c r="O412">
        <f t="shared" ref="O412:O424" si="196">ROUND(CP412,2)</f>
        <v>0</v>
      </c>
      <c r="P412">
        <f t="shared" ref="P412:P424" si="197">ROUND(CQ412*I412,2)</f>
        <v>0</v>
      </c>
      <c r="Q412">
        <f t="shared" ref="Q412:Q424" si="198">ROUND(CR412*I412,2)</f>
        <v>0</v>
      </c>
      <c r="R412">
        <f t="shared" ref="R412:R424" si="199">ROUND(CS412*I412,2)</f>
        <v>0</v>
      </c>
      <c r="S412">
        <f t="shared" ref="S412:S424" si="200">ROUND(CT412*I412,2)</f>
        <v>0</v>
      </c>
      <c r="T412">
        <f t="shared" ref="T412:T424" si="201">ROUND(CU412*I412,2)</f>
        <v>0</v>
      </c>
      <c r="U412">
        <f t="shared" ref="U412:U424" si="202">CV412*I412</f>
        <v>0</v>
      </c>
      <c r="V412">
        <f t="shared" ref="V412:V424" si="203">CW412*I412</f>
        <v>0</v>
      </c>
      <c r="W412">
        <f t="shared" ref="W412:W424" si="204">ROUND(CX412*I412,2)</f>
        <v>0</v>
      </c>
      <c r="X412">
        <f t="shared" ref="X412:X424" si="205">ROUND(CY412,2)</f>
        <v>0</v>
      </c>
      <c r="Y412">
        <f t="shared" ref="Y412:Y424" si="206">ROUND(CZ412,2)</f>
        <v>0</v>
      </c>
      <c r="AA412">
        <v>-1</v>
      </c>
      <c r="AB412">
        <f t="shared" ref="AB412:AB424" si="207">ROUND((AC412+AD412+AF412),6)</f>
        <v>11404</v>
      </c>
      <c r="AC412">
        <f>ROUND((ES412),6)</f>
        <v>4.72</v>
      </c>
      <c r="AD412">
        <f>ROUND((((ET412)-(EU412))+AE412),6)</f>
        <v>4498.8</v>
      </c>
      <c r="AE412">
        <f t="shared" ref="AE412:AF414" si="208">ROUND((EU412),6)</f>
        <v>2741.04</v>
      </c>
      <c r="AF412">
        <f t="shared" si="208"/>
        <v>6900.48</v>
      </c>
      <c r="AG412">
        <f t="shared" ref="AG412:AG424" si="209">ROUND((AP412),6)</f>
        <v>0</v>
      </c>
      <c r="AH412">
        <f t="shared" ref="AH412:AI414" si="210">(EW412)</f>
        <v>13.13</v>
      </c>
      <c r="AI412">
        <f t="shared" si="210"/>
        <v>0</v>
      </c>
      <c r="AJ412">
        <f t="shared" ref="AJ412:AJ424" si="211">(AS412)</f>
        <v>0</v>
      </c>
      <c r="AK412">
        <v>11404</v>
      </c>
      <c r="AL412">
        <v>4.72</v>
      </c>
      <c r="AM412">
        <v>4498.8</v>
      </c>
      <c r="AN412">
        <v>2741.04</v>
      </c>
      <c r="AO412">
        <v>6900.48</v>
      </c>
      <c r="AP412">
        <v>0</v>
      </c>
      <c r="AQ412">
        <v>13.13</v>
      </c>
      <c r="AR412">
        <v>0</v>
      </c>
      <c r="AS412">
        <v>0</v>
      </c>
      <c r="AT412">
        <v>70</v>
      </c>
      <c r="AU412">
        <v>10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1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4</v>
      </c>
      <c r="BJ412" t="s">
        <v>169</v>
      </c>
      <c r="BM412">
        <v>0</v>
      </c>
      <c r="BN412">
        <v>0</v>
      </c>
      <c r="BO412" t="s">
        <v>3</v>
      </c>
      <c r="BP412">
        <v>0</v>
      </c>
      <c r="BQ412">
        <v>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70</v>
      </c>
      <c r="CA412">
        <v>10</v>
      </c>
      <c r="CB412" t="s">
        <v>3</v>
      </c>
      <c r="CE412">
        <v>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ref="CP412:CP424" si="212">(P412+Q412+S412)</f>
        <v>0</v>
      </c>
      <c r="CQ412">
        <f t="shared" ref="CQ412:CQ424" si="213">(AC412*BC412*AW412)</f>
        <v>4.72</v>
      </c>
      <c r="CR412">
        <f>((((ET412)*BB412-(EU412)*BS412)+AE412*BS412)*AV412)</f>
        <v>4498.8</v>
      </c>
      <c r="CS412">
        <f t="shared" ref="CS412:CS424" si="214">(AE412*BS412*AV412)</f>
        <v>2741.04</v>
      </c>
      <c r="CT412">
        <f t="shared" ref="CT412:CT424" si="215">(AF412*BA412*AV412)</f>
        <v>6900.48</v>
      </c>
      <c r="CU412">
        <f t="shared" ref="CU412:CU424" si="216">AG412</f>
        <v>0</v>
      </c>
      <c r="CV412">
        <f t="shared" ref="CV412:CV424" si="217">(AH412*AV412)</f>
        <v>13.13</v>
      </c>
      <c r="CW412">
        <f t="shared" ref="CW412:CW424" si="218">AI412</f>
        <v>0</v>
      </c>
      <c r="CX412">
        <f t="shared" ref="CX412:CX424" si="219">AJ412</f>
        <v>0</v>
      </c>
      <c r="CY412">
        <f t="shared" ref="CY412:CY424" si="220">((S412*BZ412)/100)</f>
        <v>0</v>
      </c>
      <c r="CZ412">
        <f t="shared" ref="CZ412:CZ424" si="221">((S412*CA412)/100)</f>
        <v>0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1005</v>
      </c>
      <c r="DV412" t="s">
        <v>168</v>
      </c>
      <c r="DW412" t="s">
        <v>168</v>
      </c>
      <c r="DX412">
        <v>100</v>
      </c>
      <c r="DZ412" t="s">
        <v>3</v>
      </c>
      <c r="EA412" t="s">
        <v>3</v>
      </c>
      <c r="EB412" t="s">
        <v>3</v>
      </c>
      <c r="EC412" t="s">
        <v>3</v>
      </c>
      <c r="EE412">
        <v>1441815344</v>
      </c>
      <c r="EF412">
        <v>1</v>
      </c>
      <c r="EG412" t="s">
        <v>21</v>
      </c>
      <c r="EH412">
        <v>0</v>
      </c>
      <c r="EI412" t="s">
        <v>3</v>
      </c>
      <c r="EJ412">
        <v>4</v>
      </c>
      <c r="EK412">
        <v>0</v>
      </c>
      <c r="EL412" t="s">
        <v>22</v>
      </c>
      <c r="EM412" t="s">
        <v>23</v>
      </c>
      <c r="EO412" t="s">
        <v>3</v>
      </c>
      <c r="EQ412">
        <v>1024</v>
      </c>
      <c r="ER412">
        <v>11404</v>
      </c>
      <c r="ES412">
        <v>4.72</v>
      </c>
      <c r="ET412">
        <v>4498.8</v>
      </c>
      <c r="EU412">
        <v>2741.04</v>
      </c>
      <c r="EV412">
        <v>6900.48</v>
      </c>
      <c r="EW412">
        <v>13.13</v>
      </c>
      <c r="EX412">
        <v>0</v>
      </c>
      <c r="EY412">
        <v>0</v>
      </c>
      <c r="FQ412">
        <v>0</v>
      </c>
      <c r="FR412">
        <f t="shared" ref="FR412:FR424" si="222">ROUND(IF(BI412=3,GM412,0),2)</f>
        <v>0</v>
      </c>
      <c r="FS412">
        <v>0</v>
      </c>
      <c r="FX412">
        <v>70</v>
      </c>
      <c r="FY412">
        <v>10</v>
      </c>
      <c r="GA412" t="s">
        <v>3</v>
      </c>
      <c r="GD412">
        <v>0</v>
      </c>
      <c r="GF412">
        <v>-1858475948</v>
      </c>
      <c r="GG412">
        <v>2</v>
      </c>
      <c r="GH412">
        <v>1</v>
      </c>
      <c r="GI412">
        <v>-2</v>
      </c>
      <c r="GJ412">
        <v>0</v>
      </c>
      <c r="GK412">
        <f>ROUND(R412*(R12)/100,2)</f>
        <v>0</v>
      </c>
      <c r="GL412">
        <f t="shared" ref="GL412:GL424" si="223">ROUND(IF(AND(BH412=3,BI412=3,FS412&lt;&gt;0),P412,0),2)</f>
        <v>0</v>
      </c>
      <c r="GM412">
        <f t="shared" ref="GM412:GM424" si="224">ROUND(O412+X412+Y412+GK412,2)+GX412</f>
        <v>0</v>
      </c>
      <c r="GN412">
        <f t="shared" ref="GN412:GN424" si="225">IF(OR(BI412=0,BI412=1),GM412-GX412,0)</f>
        <v>0</v>
      </c>
      <c r="GO412">
        <f t="shared" ref="GO412:GO424" si="226">IF(BI412=2,GM412-GX412,0)</f>
        <v>0</v>
      </c>
      <c r="GP412">
        <f t="shared" ref="GP412:GP424" si="227">IF(BI412=4,GM412-GX412,0)</f>
        <v>0</v>
      </c>
      <c r="GR412">
        <v>0</v>
      </c>
      <c r="GS412">
        <v>3</v>
      </c>
      <c r="GT412">
        <v>0</v>
      </c>
      <c r="GU412" t="s">
        <v>3</v>
      </c>
      <c r="GV412">
        <f t="shared" ref="GV412:GV424" si="228">ROUND((GT412),6)</f>
        <v>0</v>
      </c>
      <c r="GW412">
        <v>1</v>
      </c>
      <c r="GX412">
        <f t="shared" ref="GX412:GX424" si="229">ROUND(HC412*I412,2)</f>
        <v>0</v>
      </c>
      <c r="HA412">
        <v>0</v>
      </c>
      <c r="HB412">
        <v>0</v>
      </c>
      <c r="HC412">
        <f t="shared" ref="HC412:HC424" si="230">GV412*GW412</f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D413">
        <f>ROW(EtalonRes!A67)</f>
        <v>67</v>
      </c>
      <c r="E413" t="s">
        <v>3</v>
      </c>
      <c r="F413" t="s">
        <v>170</v>
      </c>
      <c r="G413" t="s">
        <v>171</v>
      </c>
      <c r="H413" t="s">
        <v>168</v>
      </c>
      <c r="I413">
        <f>ROUND(I412,9)</f>
        <v>0</v>
      </c>
      <c r="J413">
        <v>0</v>
      </c>
      <c r="K413">
        <f>ROUND(I412,9)</f>
        <v>0</v>
      </c>
      <c r="O413">
        <f t="shared" si="196"/>
        <v>0</v>
      </c>
      <c r="P413">
        <f t="shared" si="197"/>
        <v>0</v>
      </c>
      <c r="Q413">
        <f t="shared" si="198"/>
        <v>0</v>
      </c>
      <c r="R413">
        <f t="shared" si="199"/>
        <v>0</v>
      </c>
      <c r="S413">
        <f t="shared" si="200"/>
        <v>0</v>
      </c>
      <c r="T413">
        <f t="shared" si="201"/>
        <v>0</v>
      </c>
      <c r="U413">
        <f t="shared" si="202"/>
        <v>0</v>
      </c>
      <c r="V413">
        <f t="shared" si="203"/>
        <v>0</v>
      </c>
      <c r="W413">
        <f t="shared" si="204"/>
        <v>0</v>
      </c>
      <c r="X413">
        <f t="shared" si="205"/>
        <v>0</v>
      </c>
      <c r="Y413">
        <f t="shared" si="206"/>
        <v>0</v>
      </c>
      <c r="AA413">
        <v>-1</v>
      </c>
      <c r="AB413">
        <f t="shared" si="207"/>
        <v>1800.78</v>
      </c>
      <c r="AC413">
        <f>ROUND((ES413),6)</f>
        <v>16.329999999999998</v>
      </c>
      <c r="AD413">
        <f>ROUND((((ET413)-(EU413))+AE413),6)</f>
        <v>680.21</v>
      </c>
      <c r="AE413">
        <f t="shared" si="208"/>
        <v>429.66</v>
      </c>
      <c r="AF413">
        <f t="shared" si="208"/>
        <v>1104.24</v>
      </c>
      <c r="AG413">
        <f t="shared" si="209"/>
        <v>0</v>
      </c>
      <c r="AH413">
        <f t="shared" si="210"/>
        <v>2.1</v>
      </c>
      <c r="AI413">
        <f t="shared" si="210"/>
        <v>0</v>
      </c>
      <c r="AJ413">
        <f t="shared" si="211"/>
        <v>0</v>
      </c>
      <c r="AK413">
        <v>1800.78</v>
      </c>
      <c r="AL413">
        <v>16.329999999999998</v>
      </c>
      <c r="AM413">
        <v>680.21</v>
      </c>
      <c r="AN413">
        <v>429.66</v>
      </c>
      <c r="AO413">
        <v>1104.24</v>
      </c>
      <c r="AP413">
        <v>0</v>
      </c>
      <c r="AQ413">
        <v>2.1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172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B413" t="s">
        <v>3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212"/>
        <v>0</v>
      </c>
      <c r="CQ413">
        <f t="shared" si="213"/>
        <v>16.329999999999998</v>
      </c>
      <c r="CR413">
        <f>((((ET413)*BB413-(EU413)*BS413)+AE413*BS413)*AV413)</f>
        <v>680.21</v>
      </c>
      <c r="CS413">
        <f t="shared" si="214"/>
        <v>429.66</v>
      </c>
      <c r="CT413">
        <f t="shared" si="215"/>
        <v>1104.24</v>
      </c>
      <c r="CU413">
        <f t="shared" si="216"/>
        <v>0</v>
      </c>
      <c r="CV413">
        <f t="shared" si="217"/>
        <v>2.1</v>
      </c>
      <c r="CW413">
        <f t="shared" si="218"/>
        <v>0</v>
      </c>
      <c r="CX413">
        <f t="shared" si="219"/>
        <v>0</v>
      </c>
      <c r="CY413">
        <f t="shared" si="220"/>
        <v>0</v>
      </c>
      <c r="CZ413">
        <f t="shared" si="221"/>
        <v>0</v>
      </c>
      <c r="DC413" t="s">
        <v>3</v>
      </c>
      <c r="DD413" t="s">
        <v>3</v>
      </c>
      <c r="DE413" t="s">
        <v>3</v>
      </c>
      <c r="DF413" t="s">
        <v>3</v>
      </c>
      <c r="DG413" t="s">
        <v>3</v>
      </c>
      <c r="DH413" t="s">
        <v>3</v>
      </c>
      <c r="DI413" t="s">
        <v>3</v>
      </c>
      <c r="DJ413" t="s">
        <v>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1005</v>
      </c>
      <c r="DV413" t="s">
        <v>168</v>
      </c>
      <c r="DW413" t="s">
        <v>168</v>
      </c>
      <c r="DX413">
        <v>100</v>
      </c>
      <c r="DZ413" t="s">
        <v>3</v>
      </c>
      <c r="EA413" t="s">
        <v>3</v>
      </c>
      <c r="EB413" t="s">
        <v>3</v>
      </c>
      <c r="EC413" t="s">
        <v>3</v>
      </c>
      <c r="EE413">
        <v>1441815344</v>
      </c>
      <c r="EF413">
        <v>1</v>
      </c>
      <c r="EG413" t="s">
        <v>21</v>
      </c>
      <c r="EH413">
        <v>0</v>
      </c>
      <c r="EI413" t="s">
        <v>3</v>
      </c>
      <c r="EJ413">
        <v>4</v>
      </c>
      <c r="EK413">
        <v>0</v>
      </c>
      <c r="EL413" t="s">
        <v>22</v>
      </c>
      <c r="EM413" t="s">
        <v>23</v>
      </c>
      <c r="EO413" t="s">
        <v>3</v>
      </c>
      <c r="EQ413">
        <v>1024</v>
      </c>
      <c r="ER413">
        <v>1800.78</v>
      </c>
      <c r="ES413">
        <v>16.329999999999998</v>
      </c>
      <c r="ET413">
        <v>680.21</v>
      </c>
      <c r="EU413">
        <v>429.66</v>
      </c>
      <c r="EV413">
        <v>1104.24</v>
      </c>
      <c r="EW413">
        <v>2.1</v>
      </c>
      <c r="EX413">
        <v>0</v>
      </c>
      <c r="EY413">
        <v>0</v>
      </c>
      <c r="FQ413">
        <v>0</v>
      </c>
      <c r="FR413">
        <f t="shared" si="222"/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-1860406526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 t="shared" si="223"/>
        <v>0</v>
      </c>
      <c r="GM413">
        <f t="shared" si="224"/>
        <v>0</v>
      </c>
      <c r="GN413">
        <f t="shared" si="225"/>
        <v>0</v>
      </c>
      <c r="GO413">
        <f t="shared" si="226"/>
        <v>0</v>
      </c>
      <c r="GP413">
        <f t="shared" si="227"/>
        <v>0</v>
      </c>
      <c r="GR413">
        <v>0</v>
      </c>
      <c r="GS413">
        <v>3</v>
      </c>
      <c r="GT413">
        <v>0</v>
      </c>
      <c r="GU413" t="s">
        <v>3</v>
      </c>
      <c r="GV413">
        <f t="shared" si="228"/>
        <v>0</v>
      </c>
      <c r="GW413">
        <v>1</v>
      </c>
      <c r="GX413">
        <f t="shared" si="229"/>
        <v>0</v>
      </c>
      <c r="HA413">
        <v>0</v>
      </c>
      <c r="HB413">
        <v>0</v>
      </c>
      <c r="HC413">
        <f t="shared" si="230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C414">
        <f>ROW(SmtRes!A21)</f>
        <v>21</v>
      </c>
      <c r="D414">
        <f>ROW(EtalonRes!A73)</f>
        <v>73</v>
      </c>
      <c r="E414" t="s">
        <v>3</v>
      </c>
      <c r="F414" t="s">
        <v>173</v>
      </c>
      <c r="G414" t="s">
        <v>174</v>
      </c>
      <c r="H414" t="s">
        <v>175</v>
      </c>
      <c r="I414">
        <f>ROUND(2+1+2,9)</f>
        <v>5</v>
      </c>
      <c r="J414">
        <v>0</v>
      </c>
      <c r="K414">
        <f>ROUND(2+1+2,9)</f>
        <v>5</v>
      </c>
      <c r="O414">
        <f t="shared" si="196"/>
        <v>38121.75</v>
      </c>
      <c r="P414">
        <f t="shared" si="197"/>
        <v>1072.3499999999999</v>
      </c>
      <c r="Q414">
        <f t="shared" si="198"/>
        <v>0</v>
      </c>
      <c r="R414">
        <f t="shared" si="199"/>
        <v>0</v>
      </c>
      <c r="S414">
        <f t="shared" si="200"/>
        <v>37049.4</v>
      </c>
      <c r="T414">
        <f t="shared" si="201"/>
        <v>0</v>
      </c>
      <c r="U414">
        <f t="shared" si="202"/>
        <v>60</v>
      </c>
      <c r="V414">
        <f t="shared" si="203"/>
        <v>0</v>
      </c>
      <c r="W414">
        <f t="shared" si="204"/>
        <v>0</v>
      </c>
      <c r="X414">
        <f t="shared" si="205"/>
        <v>25934.58</v>
      </c>
      <c r="Y414">
        <f t="shared" si="206"/>
        <v>3704.94</v>
      </c>
      <c r="AA414">
        <v>-1</v>
      </c>
      <c r="AB414">
        <f t="shared" si="207"/>
        <v>7624.35</v>
      </c>
      <c r="AC414">
        <f>ROUND((ES414),6)</f>
        <v>214.47</v>
      </c>
      <c r="AD414">
        <f>ROUND((((ET414)-(EU414))+AE414),6)</f>
        <v>0</v>
      </c>
      <c r="AE414">
        <f t="shared" si="208"/>
        <v>0</v>
      </c>
      <c r="AF414">
        <f t="shared" si="208"/>
        <v>7409.88</v>
      </c>
      <c r="AG414">
        <f t="shared" si="209"/>
        <v>0</v>
      </c>
      <c r="AH414">
        <f t="shared" si="210"/>
        <v>12</v>
      </c>
      <c r="AI414">
        <f t="shared" si="210"/>
        <v>0</v>
      </c>
      <c r="AJ414">
        <f t="shared" si="211"/>
        <v>0</v>
      </c>
      <c r="AK414">
        <v>7624.35</v>
      </c>
      <c r="AL414">
        <v>214.47</v>
      </c>
      <c r="AM414">
        <v>0</v>
      </c>
      <c r="AN414">
        <v>0</v>
      </c>
      <c r="AO414">
        <v>7409.88</v>
      </c>
      <c r="AP414">
        <v>0</v>
      </c>
      <c r="AQ414">
        <v>12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176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B414" t="s">
        <v>3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212"/>
        <v>38121.75</v>
      </c>
      <c r="CQ414">
        <f t="shared" si="213"/>
        <v>214.47</v>
      </c>
      <c r="CR414">
        <f>((((ET414)*BB414-(EU414)*BS414)+AE414*BS414)*AV414)</f>
        <v>0</v>
      </c>
      <c r="CS414">
        <f t="shared" si="214"/>
        <v>0</v>
      </c>
      <c r="CT414">
        <f t="shared" si="215"/>
        <v>7409.88</v>
      </c>
      <c r="CU414">
        <f t="shared" si="216"/>
        <v>0</v>
      </c>
      <c r="CV414">
        <f t="shared" si="217"/>
        <v>12</v>
      </c>
      <c r="CW414">
        <f t="shared" si="218"/>
        <v>0</v>
      </c>
      <c r="CX414">
        <f t="shared" si="219"/>
        <v>0</v>
      </c>
      <c r="CY414">
        <f t="shared" si="220"/>
        <v>25934.58</v>
      </c>
      <c r="CZ414">
        <f t="shared" si="221"/>
        <v>3704.94</v>
      </c>
      <c r="DC414" t="s">
        <v>3</v>
      </c>
      <c r="DD414" t="s">
        <v>3</v>
      </c>
      <c r="DE414" t="s">
        <v>3</v>
      </c>
      <c r="DF414" t="s">
        <v>3</v>
      </c>
      <c r="DG414" t="s">
        <v>3</v>
      </c>
      <c r="DH414" t="s">
        <v>3</v>
      </c>
      <c r="DI414" t="s">
        <v>3</v>
      </c>
      <c r="DJ414" t="s">
        <v>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1013</v>
      </c>
      <c r="DV414" t="s">
        <v>175</v>
      </c>
      <c r="DW414" t="s">
        <v>175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1441815344</v>
      </c>
      <c r="EF414">
        <v>1</v>
      </c>
      <c r="EG414" t="s">
        <v>21</v>
      </c>
      <c r="EH414">
        <v>0</v>
      </c>
      <c r="EI414" t="s">
        <v>3</v>
      </c>
      <c r="EJ414">
        <v>4</v>
      </c>
      <c r="EK414">
        <v>0</v>
      </c>
      <c r="EL414" t="s">
        <v>22</v>
      </c>
      <c r="EM414" t="s">
        <v>23</v>
      </c>
      <c r="EO414" t="s">
        <v>3</v>
      </c>
      <c r="EQ414">
        <v>1024</v>
      </c>
      <c r="ER414">
        <v>7624.35</v>
      </c>
      <c r="ES414">
        <v>214.47</v>
      </c>
      <c r="ET414">
        <v>0</v>
      </c>
      <c r="EU414">
        <v>0</v>
      </c>
      <c r="EV414">
        <v>7409.88</v>
      </c>
      <c r="EW414">
        <v>12</v>
      </c>
      <c r="EX414">
        <v>0</v>
      </c>
      <c r="EY414">
        <v>0</v>
      </c>
      <c r="FQ414">
        <v>0</v>
      </c>
      <c r="FR414">
        <f t="shared" si="222"/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1557043165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 t="shared" si="223"/>
        <v>0</v>
      </c>
      <c r="GM414">
        <f t="shared" si="224"/>
        <v>67761.27</v>
      </c>
      <c r="GN414">
        <f t="shared" si="225"/>
        <v>0</v>
      </c>
      <c r="GO414">
        <f t="shared" si="226"/>
        <v>0</v>
      </c>
      <c r="GP414">
        <f t="shared" si="227"/>
        <v>67761.27</v>
      </c>
      <c r="GR414">
        <v>0</v>
      </c>
      <c r="GS414">
        <v>3</v>
      </c>
      <c r="GT414">
        <v>0</v>
      </c>
      <c r="GU414" t="s">
        <v>3</v>
      </c>
      <c r="GV414">
        <f t="shared" si="228"/>
        <v>0</v>
      </c>
      <c r="GW414">
        <v>1</v>
      </c>
      <c r="GX414">
        <f t="shared" si="229"/>
        <v>0</v>
      </c>
      <c r="HA414">
        <v>0</v>
      </c>
      <c r="HB414">
        <v>0</v>
      </c>
      <c r="HC414">
        <f t="shared" si="230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D415">
        <f>ROW(EtalonRes!A75)</f>
        <v>75</v>
      </c>
      <c r="E415" t="s">
        <v>177</v>
      </c>
      <c r="F415" t="s">
        <v>178</v>
      </c>
      <c r="G415" t="s">
        <v>179</v>
      </c>
      <c r="H415" t="s">
        <v>175</v>
      </c>
      <c r="I415">
        <v>5</v>
      </c>
      <c r="J415">
        <v>0</v>
      </c>
      <c r="K415">
        <v>5</v>
      </c>
      <c r="O415">
        <f t="shared" si="196"/>
        <v>15793.4</v>
      </c>
      <c r="P415">
        <f t="shared" si="197"/>
        <v>0.3</v>
      </c>
      <c r="Q415">
        <f t="shared" si="198"/>
        <v>0</v>
      </c>
      <c r="R415">
        <f t="shared" si="199"/>
        <v>0</v>
      </c>
      <c r="S415">
        <f t="shared" si="200"/>
        <v>15793.1</v>
      </c>
      <c r="T415">
        <f t="shared" si="201"/>
        <v>0</v>
      </c>
      <c r="U415">
        <f t="shared" si="202"/>
        <v>23.799999999999997</v>
      </c>
      <c r="V415">
        <f t="shared" si="203"/>
        <v>0</v>
      </c>
      <c r="W415">
        <f t="shared" si="204"/>
        <v>0</v>
      </c>
      <c r="X415">
        <f t="shared" si="205"/>
        <v>11055.17</v>
      </c>
      <c r="Y415">
        <f t="shared" si="206"/>
        <v>1579.31</v>
      </c>
      <c r="AA415">
        <v>1473080740</v>
      </c>
      <c r="AB415">
        <f t="shared" si="207"/>
        <v>3158.68</v>
      </c>
      <c r="AC415">
        <f>ROUND(((ES415*2)),6)</f>
        <v>0.06</v>
      </c>
      <c r="AD415">
        <f>ROUND(((((ET415*2))-((EU415*2)))+AE415),6)</f>
        <v>0</v>
      </c>
      <c r="AE415">
        <f>ROUND(((EU415*2)),6)</f>
        <v>0</v>
      </c>
      <c r="AF415">
        <f>ROUND(((EV415*2)),6)</f>
        <v>3158.62</v>
      </c>
      <c r="AG415">
        <f t="shared" si="209"/>
        <v>0</v>
      </c>
      <c r="AH415">
        <f>((EW415*2))</f>
        <v>4.76</v>
      </c>
      <c r="AI415">
        <f>((EX415*2))</f>
        <v>0</v>
      </c>
      <c r="AJ415">
        <f t="shared" si="211"/>
        <v>0</v>
      </c>
      <c r="AK415">
        <v>1579.34</v>
      </c>
      <c r="AL415">
        <v>0.03</v>
      </c>
      <c r="AM415">
        <v>0</v>
      </c>
      <c r="AN415">
        <v>0</v>
      </c>
      <c r="AO415">
        <v>1579.31</v>
      </c>
      <c r="AP415">
        <v>0</v>
      </c>
      <c r="AQ415">
        <v>2.38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4</v>
      </c>
      <c r="BJ415" t="s">
        <v>180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B415" t="s">
        <v>3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212"/>
        <v>15793.4</v>
      </c>
      <c r="CQ415">
        <f t="shared" si="213"/>
        <v>0.06</v>
      </c>
      <c r="CR415">
        <f>(((((ET415*2))*BB415-((EU415*2))*BS415)+AE415*BS415)*AV415)</f>
        <v>0</v>
      </c>
      <c r="CS415">
        <f t="shared" si="214"/>
        <v>0</v>
      </c>
      <c r="CT415">
        <f t="shared" si="215"/>
        <v>3158.62</v>
      </c>
      <c r="CU415">
        <f t="shared" si="216"/>
        <v>0</v>
      </c>
      <c r="CV415">
        <f t="shared" si="217"/>
        <v>4.76</v>
      </c>
      <c r="CW415">
        <f t="shared" si="218"/>
        <v>0</v>
      </c>
      <c r="CX415">
        <f t="shared" si="219"/>
        <v>0</v>
      </c>
      <c r="CY415">
        <f t="shared" si="220"/>
        <v>11055.17</v>
      </c>
      <c r="CZ415">
        <f t="shared" si="221"/>
        <v>1579.31</v>
      </c>
      <c r="DC415" t="s">
        <v>3</v>
      </c>
      <c r="DD415" t="s">
        <v>181</v>
      </c>
      <c r="DE415" t="s">
        <v>181</v>
      </c>
      <c r="DF415" t="s">
        <v>181</v>
      </c>
      <c r="DG415" t="s">
        <v>181</v>
      </c>
      <c r="DH415" t="s">
        <v>3</v>
      </c>
      <c r="DI415" t="s">
        <v>181</v>
      </c>
      <c r="DJ415" t="s">
        <v>181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1013</v>
      </c>
      <c r="DV415" t="s">
        <v>175</v>
      </c>
      <c r="DW415" t="s">
        <v>175</v>
      </c>
      <c r="DX415">
        <v>1</v>
      </c>
      <c r="DZ415" t="s">
        <v>3</v>
      </c>
      <c r="EA415" t="s">
        <v>3</v>
      </c>
      <c r="EB415" t="s">
        <v>3</v>
      </c>
      <c r="EC415" t="s">
        <v>3</v>
      </c>
      <c r="EE415">
        <v>1441815344</v>
      </c>
      <c r="EF415">
        <v>1</v>
      </c>
      <c r="EG415" t="s">
        <v>21</v>
      </c>
      <c r="EH415">
        <v>0</v>
      </c>
      <c r="EI415" t="s">
        <v>3</v>
      </c>
      <c r="EJ415">
        <v>4</v>
      </c>
      <c r="EK415">
        <v>0</v>
      </c>
      <c r="EL415" t="s">
        <v>22</v>
      </c>
      <c r="EM415" t="s">
        <v>23</v>
      </c>
      <c r="EO415" t="s">
        <v>3</v>
      </c>
      <c r="EQ415">
        <v>0</v>
      </c>
      <c r="ER415">
        <v>1579.34</v>
      </c>
      <c r="ES415">
        <v>0.03</v>
      </c>
      <c r="ET415">
        <v>0</v>
      </c>
      <c r="EU415">
        <v>0</v>
      </c>
      <c r="EV415">
        <v>1579.31</v>
      </c>
      <c r="EW415">
        <v>2.38</v>
      </c>
      <c r="EX415">
        <v>0</v>
      </c>
      <c r="EY415">
        <v>0</v>
      </c>
      <c r="FQ415">
        <v>0</v>
      </c>
      <c r="FR415">
        <f t="shared" si="222"/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1520162509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 t="shared" si="223"/>
        <v>0</v>
      </c>
      <c r="GM415">
        <f t="shared" si="224"/>
        <v>28427.88</v>
      </c>
      <c r="GN415">
        <f t="shared" si="225"/>
        <v>0</v>
      </c>
      <c r="GO415">
        <f t="shared" si="226"/>
        <v>0</v>
      </c>
      <c r="GP415">
        <f t="shared" si="227"/>
        <v>28427.88</v>
      </c>
      <c r="GR415">
        <v>0</v>
      </c>
      <c r="GS415">
        <v>3</v>
      </c>
      <c r="GT415">
        <v>0</v>
      </c>
      <c r="GU415" t="s">
        <v>3</v>
      </c>
      <c r="GV415">
        <f t="shared" si="228"/>
        <v>0</v>
      </c>
      <c r="GW415">
        <v>1</v>
      </c>
      <c r="GX415">
        <f t="shared" si="229"/>
        <v>0</v>
      </c>
      <c r="HA415">
        <v>0</v>
      </c>
      <c r="HB415">
        <v>0</v>
      </c>
      <c r="HC415">
        <f t="shared" si="230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D416">
        <f>ROW(EtalonRes!A77)</f>
        <v>77</v>
      </c>
      <c r="E416" t="s">
        <v>3</v>
      </c>
      <c r="F416" t="s">
        <v>182</v>
      </c>
      <c r="G416" t="s">
        <v>183</v>
      </c>
      <c r="H416" t="s">
        <v>175</v>
      </c>
      <c r="I416">
        <v>5</v>
      </c>
      <c r="J416">
        <v>0</v>
      </c>
      <c r="K416">
        <v>5</v>
      </c>
      <c r="O416">
        <f t="shared" si="196"/>
        <v>7299.7</v>
      </c>
      <c r="P416">
        <f t="shared" si="197"/>
        <v>0.4</v>
      </c>
      <c r="Q416">
        <f t="shared" si="198"/>
        <v>0</v>
      </c>
      <c r="R416">
        <f t="shared" si="199"/>
        <v>0</v>
      </c>
      <c r="S416">
        <f t="shared" si="200"/>
        <v>7299.3</v>
      </c>
      <c r="T416">
        <f t="shared" si="201"/>
        <v>0</v>
      </c>
      <c r="U416">
        <f t="shared" si="202"/>
        <v>11</v>
      </c>
      <c r="V416">
        <f t="shared" si="203"/>
        <v>0</v>
      </c>
      <c r="W416">
        <f t="shared" si="204"/>
        <v>0</v>
      </c>
      <c r="X416">
        <f t="shared" si="205"/>
        <v>5109.51</v>
      </c>
      <c r="Y416">
        <f t="shared" si="206"/>
        <v>729.93</v>
      </c>
      <c r="AA416">
        <v>-1</v>
      </c>
      <c r="AB416">
        <f t="shared" si="207"/>
        <v>1459.94</v>
      </c>
      <c r="AC416">
        <f>ROUND(((ES416*2)),6)</f>
        <v>0.08</v>
      </c>
      <c r="AD416">
        <f>ROUND(((((ET416*2))-((EU416*2)))+AE416),6)</f>
        <v>0</v>
      </c>
      <c r="AE416">
        <f>ROUND(((EU416*2)),6)</f>
        <v>0</v>
      </c>
      <c r="AF416">
        <f>ROUND(((EV416*2)),6)</f>
        <v>1459.86</v>
      </c>
      <c r="AG416">
        <f t="shared" si="209"/>
        <v>0</v>
      </c>
      <c r="AH416">
        <f>((EW416*2))</f>
        <v>2.2000000000000002</v>
      </c>
      <c r="AI416">
        <f>((EX416*2))</f>
        <v>0</v>
      </c>
      <c r="AJ416">
        <f t="shared" si="211"/>
        <v>0</v>
      </c>
      <c r="AK416">
        <v>729.97</v>
      </c>
      <c r="AL416">
        <v>0.04</v>
      </c>
      <c r="AM416">
        <v>0</v>
      </c>
      <c r="AN416">
        <v>0</v>
      </c>
      <c r="AO416">
        <v>729.93</v>
      </c>
      <c r="AP416">
        <v>0</v>
      </c>
      <c r="AQ416">
        <v>1.1000000000000001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4</v>
      </c>
      <c r="BJ416" t="s">
        <v>184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B416" t="s">
        <v>3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212"/>
        <v>7299.7</v>
      </c>
      <c r="CQ416">
        <f t="shared" si="213"/>
        <v>0.08</v>
      </c>
      <c r="CR416">
        <f>(((((ET416*2))*BB416-((EU416*2))*BS416)+AE416*BS416)*AV416)</f>
        <v>0</v>
      </c>
      <c r="CS416">
        <f t="shared" si="214"/>
        <v>0</v>
      </c>
      <c r="CT416">
        <f t="shared" si="215"/>
        <v>1459.86</v>
      </c>
      <c r="CU416">
        <f t="shared" si="216"/>
        <v>0</v>
      </c>
      <c r="CV416">
        <f t="shared" si="217"/>
        <v>2.2000000000000002</v>
      </c>
      <c r="CW416">
        <f t="shared" si="218"/>
        <v>0</v>
      </c>
      <c r="CX416">
        <f t="shared" si="219"/>
        <v>0</v>
      </c>
      <c r="CY416">
        <f t="shared" si="220"/>
        <v>5109.51</v>
      </c>
      <c r="CZ416">
        <f t="shared" si="221"/>
        <v>729.93</v>
      </c>
      <c r="DC416" t="s">
        <v>3</v>
      </c>
      <c r="DD416" t="s">
        <v>181</v>
      </c>
      <c r="DE416" t="s">
        <v>181</v>
      </c>
      <c r="DF416" t="s">
        <v>181</v>
      </c>
      <c r="DG416" t="s">
        <v>181</v>
      </c>
      <c r="DH416" t="s">
        <v>3</v>
      </c>
      <c r="DI416" t="s">
        <v>181</v>
      </c>
      <c r="DJ416" t="s">
        <v>181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1013</v>
      </c>
      <c r="DV416" t="s">
        <v>175</v>
      </c>
      <c r="DW416" t="s">
        <v>175</v>
      </c>
      <c r="DX416">
        <v>1</v>
      </c>
      <c r="DZ416" t="s">
        <v>3</v>
      </c>
      <c r="EA416" t="s">
        <v>3</v>
      </c>
      <c r="EB416" t="s">
        <v>3</v>
      </c>
      <c r="EC416" t="s">
        <v>3</v>
      </c>
      <c r="EE416">
        <v>1441815344</v>
      </c>
      <c r="EF416">
        <v>1</v>
      </c>
      <c r="EG416" t="s">
        <v>21</v>
      </c>
      <c r="EH416">
        <v>0</v>
      </c>
      <c r="EI416" t="s">
        <v>3</v>
      </c>
      <c r="EJ416">
        <v>4</v>
      </c>
      <c r="EK416">
        <v>0</v>
      </c>
      <c r="EL416" t="s">
        <v>22</v>
      </c>
      <c r="EM416" t="s">
        <v>23</v>
      </c>
      <c r="EO416" t="s">
        <v>3</v>
      </c>
      <c r="EQ416">
        <v>1024</v>
      </c>
      <c r="ER416">
        <v>729.97</v>
      </c>
      <c r="ES416">
        <v>0.04</v>
      </c>
      <c r="ET416">
        <v>0</v>
      </c>
      <c r="EU416">
        <v>0</v>
      </c>
      <c r="EV416">
        <v>729.93</v>
      </c>
      <c r="EW416">
        <v>1.1000000000000001</v>
      </c>
      <c r="EX416">
        <v>0</v>
      </c>
      <c r="EY416">
        <v>0</v>
      </c>
      <c r="FQ416">
        <v>0</v>
      </c>
      <c r="FR416">
        <f t="shared" si="222"/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-1196827880</v>
      </c>
      <c r="GG416">
        <v>2</v>
      </c>
      <c r="GH416">
        <v>1</v>
      </c>
      <c r="GI416">
        <v>-2</v>
      </c>
      <c r="GJ416">
        <v>0</v>
      </c>
      <c r="GK416">
        <f>ROUND(R416*(R12)/100,2)</f>
        <v>0</v>
      </c>
      <c r="GL416">
        <f t="shared" si="223"/>
        <v>0</v>
      </c>
      <c r="GM416">
        <f t="shared" si="224"/>
        <v>13139.14</v>
      </c>
      <c r="GN416">
        <f t="shared" si="225"/>
        <v>0</v>
      </c>
      <c r="GO416">
        <f t="shared" si="226"/>
        <v>0</v>
      </c>
      <c r="GP416">
        <f t="shared" si="227"/>
        <v>13139.14</v>
      </c>
      <c r="GR416">
        <v>0</v>
      </c>
      <c r="GS416">
        <v>3</v>
      </c>
      <c r="GT416">
        <v>0</v>
      </c>
      <c r="GU416" t="s">
        <v>3</v>
      </c>
      <c r="GV416">
        <f t="shared" si="228"/>
        <v>0</v>
      </c>
      <c r="GW416">
        <v>1</v>
      </c>
      <c r="GX416">
        <f t="shared" si="229"/>
        <v>0</v>
      </c>
      <c r="HA416">
        <v>0</v>
      </c>
      <c r="HB416">
        <v>0</v>
      </c>
      <c r="HC416">
        <f t="shared" si="230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C417">
        <f>ROW(SmtRes!A31)</f>
        <v>31</v>
      </c>
      <c r="D417">
        <f>ROW(EtalonRes!A87)</f>
        <v>87</v>
      </c>
      <c r="E417" t="s">
        <v>3</v>
      </c>
      <c r="F417" t="s">
        <v>185</v>
      </c>
      <c r="G417" t="s">
        <v>186</v>
      </c>
      <c r="H417" t="s">
        <v>175</v>
      </c>
      <c r="I417">
        <v>2</v>
      </c>
      <c r="J417">
        <v>0</v>
      </c>
      <c r="K417">
        <v>2</v>
      </c>
      <c r="O417">
        <f t="shared" si="196"/>
        <v>45892.68</v>
      </c>
      <c r="P417">
        <f t="shared" si="197"/>
        <v>1309.9000000000001</v>
      </c>
      <c r="Q417">
        <f t="shared" si="198"/>
        <v>0</v>
      </c>
      <c r="R417">
        <f t="shared" si="199"/>
        <v>0</v>
      </c>
      <c r="S417">
        <f t="shared" si="200"/>
        <v>44582.78</v>
      </c>
      <c r="T417">
        <f t="shared" si="201"/>
        <v>0</v>
      </c>
      <c r="U417">
        <f t="shared" si="202"/>
        <v>72.2</v>
      </c>
      <c r="V417">
        <f t="shared" si="203"/>
        <v>0</v>
      </c>
      <c r="W417">
        <f t="shared" si="204"/>
        <v>0</v>
      </c>
      <c r="X417">
        <f t="shared" si="205"/>
        <v>31207.95</v>
      </c>
      <c r="Y417">
        <f t="shared" si="206"/>
        <v>4458.28</v>
      </c>
      <c r="AA417">
        <v>-1</v>
      </c>
      <c r="AB417">
        <f t="shared" si="207"/>
        <v>22946.34</v>
      </c>
      <c r="AC417">
        <f>ROUND((ES417),6)</f>
        <v>654.95000000000005</v>
      </c>
      <c r="AD417">
        <f>ROUND((((ET417)-(EU417))+AE417),6)</f>
        <v>0</v>
      </c>
      <c r="AE417">
        <f>ROUND((EU417),6)</f>
        <v>0</v>
      </c>
      <c r="AF417">
        <f>ROUND((EV417),6)</f>
        <v>22291.39</v>
      </c>
      <c r="AG417">
        <f t="shared" si="209"/>
        <v>0</v>
      </c>
      <c r="AH417">
        <f>(EW417)</f>
        <v>36.1</v>
      </c>
      <c r="AI417">
        <f>(EX417)</f>
        <v>0</v>
      </c>
      <c r="AJ417">
        <f t="shared" si="211"/>
        <v>0</v>
      </c>
      <c r="AK417">
        <v>22946.34</v>
      </c>
      <c r="AL417">
        <v>654.95000000000005</v>
      </c>
      <c r="AM417">
        <v>0</v>
      </c>
      <c r="AN417">
        <v>0</v>
      </c>
      <c r="AO417">
        <v>22291.39</v>
      </c>
      <c r="AP417">
        <v>0</v>
      </c>
      <c r="AQ417">
        <v>36.1</v>
      </c>
      <c r="AR417">
        <v>0</v>
      </c>
      <c r="AS417">
        <v>0</v>
      </c>
      <c r="AT417">
        <v>70</v>
      </c>
      <c r="AU417">
        <v>10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4</v>
      </c>
      <c r="BJ417" t="s">
        <v>187</v>
      </c>
      <c r="BM417">
        <v>0</v>
      </c>
      <c r="BN417">
        <v>0</v>
      </c>
      <c r="BO417" t="s">
        <v>3</v>
      </c>
      <c r="BP417">
        <v>0</v>
      </c>
      <c r="BQ417">
        <v>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70</v>
      </c>
      <c r="CA417">
        <v>10</v>
      </c>
      <c r="CB417" t="s">
        <v>3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212"/>
        <v>45892.68</v>
      </c>
      <c r="CQ417">
        <f t="shared" si="213"/>
        <v>654.95000000000005</v>
      </c>
      <c r="CR417">
        <f>((((ET417)*BB417-(EU417)*BS417)+AE417*BS417)*AV417)</f>
        <v>0</v>
      </c>
      <c r="CS417">
        <f t="shared" si="214"/>
        <v>0</v>
      </c>
      <c r="CT417">
        <f t="shared" si="215"/>
        <v>22291.39</v>
      </c>
      <c r="CU417">
        <f t="shared" si="216"/>
        <v>0</v>
      </c>
      <c r="CV417">
        <f t="shared" si="217"/>
        <v>36.1</v>
      </c>
      <c r="CW417">
        <f t="shared" si="218"/>
        <v>0</v>
      </c>
      <c r="CX417">
        <f t="shared" si="219"/>
        <v>0</v>
      </c>
      <c r="CY417">
        <f t="shared" si="220"/>
        <v>31207.946</v>
      </c>
      <c r="CZ417">
        <f t="shared" si="221"/>
        <v>4458.2780000000002</v>
      </c>
      <c r="DC417" t="s">
        <v>3</v>
      </c>
      <c r="DD417" t="s">
        <v>3</v>
      </c>
      <c r="DE417" t="s">
        <v>3</v>
      </c>
      <c r="DF417" t="s">
        <v>3</v>
      </c>
      <c r="DG417" t="s">
        <v>3</v>
      </c>
      <c r="DH417" t="s">
        <v>3</v>
      </c>
      <c r="DI417" t="s">
        <v>3</v>
      </c>
      <c r="DJ417" t="s">
        <v>3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1013</v>
      </c>
      <c r="DV417" t="s">
        <v>175</v>
      </c>
      <c r="DW417" t="s">
        <v>175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1441815344</v>
      </c>
      <c r="EF417">
        <v>1</v>
      </c>
      <c r="EG417" t="s">
        <v>21</v>
      </c>
      <c r="EH417">
        <v>0</v>
      </c>
      <c r="EI417" t="s">
        <v>3</v>
      </c>
      <c r="EJ417">
        <v>4</v>
      </c>
      <c r="EK417">
        <v>0</v>
      </c>
      <c r="EL417" t="s">
        <v>22</v>
      </c>
      <c r="EM417" t="s">
        <v>23</v>
      </c>
      <c r="EO417" t="s">
        <v>3</v>
      </c>
      <c r="EQ417">
        <v>1024</v>
      </c>
      <c r="ER417">
        <v>22946.34</v>
      </c>
      <c r="ES417">
        <v>654.95000000000005</v>
      </c>
      <c r="ET417">
        <v>0</v>
      </c>
      <c r="EU417">
        <v>0</v>
      </c>
      <c r="EV417">
        <v>22291.39</v>
      </c>
      <c r="EW417">
        <v>36.1</v>
      </c>
      <c r="EX417">
        <v>0</v>
      </c>
      <c r="EY417">
        <v>0</v>
      </c>
      <c r="FQ417">
        <v>0</v>
      </c>
      <c r="FR417">
        <f t="shared" si="222"/>
        <v>0</v>
      </c>
      <c r="FS417">
        <v>0</v>
      </c>
      <c r="FX417">
        <v>70</v>
      </c>
      <c r="FY417">
        <v>10</v>
      </c>
      <c r="GA417" t="s">
        <v>3</v>
      </c>
      <c r="GD417">
        <v>0</v>
      </c>
      <c r="GF417">
        <v>86364489</v>
      </c>
      <c r="GG417">
        <v>2</v>
      </c>
      <c r="GH417">
        <v>1</v>
      </c>
      <c r="GI417">
        <v>-2</v>
      </c>
      <c r="GJ417">
        <v>0</v>
      </c>
      <c r="GK417">
        <f>ROUND(R417*(R12)/100,2)</f>
        <v>0</v>
      </c>
      <c r="GL417">
        <f t="shared" si="223"/>
        <v>0</v>
      </c>
      <c r="GM417">
        <f t="shared" si="224"/>
        <v>81558.91</v>
      </c>
      <c r="GN417">
        <f t="shared" si="225"/>
        <v>0</v>
      </c>
      <c r="GO417">
        <f t="shared" si="226"/>
        <v>0</v>
      </c>
      <c r="GP417">
        <f t="shared" si="227"/>
        <v>81558.91</v>
      </c>
      <c r="GR417">
        <v>0</v>
      </c>
      <c r="GS417">
        <v>3</v>
      </c>
      <c r="GT417">
        <v>0</v>
      </c>
      <c r="GU417" t="s">
        <v>3</v>
      </c>
      <c r="GV417">
        <f t="shared" si="228"/>
        <v>0</v>
      </c>
      <c r="GW417">
        <v>1</v>
      </c>
      <c r="GX417">
        <f t="shared" si="229"/>
        <v>0</v>
      </c>
      <c r="HA417">
        <v>0</v>
      </c>
      <c r="HB417">
        <v>0</v>
      </c>
      <c r="HC417">
        <f t="shared" si="230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45" x14ac:dyDescent="0.2">
      <c r="A418">
        <v>17</v>
      </c>
      <c r="B418">
        <v>1</v>
      </c>
      <c r="D418">
        <f>ROW(EtalonRes!A89)</f>
        <v>89</v>
      </c>
      <c r="E418" t="s">
        <v>188</v>
      </c>
      <c r="F418" t="s">
        <v>178</v>
      </c>
      <c r="G418" t="s">
        <v>179</v>
      </c>
      <c r="H418" t="s">
        <v>175</v>
      </c>
      <c r="I418">
        <v>2</v>
      </c>
      <c r="J418">
        <v>0</v>
      </c>
      <c r="K418">
        <v>2</v>
      </c>
      <c r="O418">
        <f t="shared" si="196"/>
        <v>6317.36</v>
      </c>
      <c r="P418">
        <f t="shared" si="197"/>
        <v>0.12</v>
      </c>
      <c r="Q418">
        <f t="shared" si="198"/>
        <v>0</v>
      </c>
      <c r="R418">
        <f t="shared" si="199"/>
        <v>0</v>
      </c>
      <c r="S418">
        <f t="shared" si="200"/>
        <v>6317.24</v>
      </c>
      <c r="T418">
        <f t="shared" si="201"/>
        <v>0</v>
      </c>
      <c r="U418">
        <f t="shared" si="202"/>
        <v>9.52</v>
      </c>
      <c r="V418">
        <f t="shared" si="203"/>
        <v>0</v>
      </c>
      <c r="W418">
        <f t="shared" si="204"/>
        <v>0</v>
      </c>
      <c r="X418">
        <f t="shared" si="205"/>
        <v>4422.07</v>
      </c>
      <c r="Y418">
        <f t="shared" si="206"/>
        <v>631.72</v>
      </c>
      <c r="AA418">
        <v>1473080740</v>
      </c>
      <c r="AB418">
        <f t="shared" si="207"/>
        <v>3158.68</v>
      </c>
      <c r="AC418">
        <f>ROUND(((ES418*2)),6)</f>
        <v>0.06</v>
      </c>
      <c r="AD418">
        <f>ROUND(((((ET418*2))-((EU418*2)))+AE418),6)</f>
        <v>0</v>
      </c>
      <c r="AE418">
        <f>ROUND(((EU418*2)),6)</f>
        <v>0</v>
      </c>
      <c r="AF418">
        <f>ROUND(((EV418*2)),6)</f>
        <v>3158.62</v>
      </c>
      <c r="AG418">
        <f t="shared" si="209"/>
        <v>0</v>
      </c>
      <c r="AH418">
        <f>((EW418*2))</f>
        <v>4.76</v>
      </c>
      <c r="AI418">
        <f>((EX418*2))</f>
        <v>0</v>
      </c>
      <c r="AJ418">
        <f t="shared" si="211"/>
        <v>0</v>
      </c>
      <c r="AK418">
        <v>1579.34</v>
      </c>
      <c r="AL418">
        <v>0.03</v>
      </c>
      <c r="AM418">
        <v>0</v>
      </c>
      <c r="AN418">
        <v>0</v>
      </c>
      <c r="AO418">
        <v>1579.31</v>
      </c>
      <c r="AP418">
        <v>0</v>
      </c>
      <c r="AQ418">
        <v>2.38</v>
      </c>
      <c r="AR418">
        <v>0</v>
      </c>
      <c r="AS418">
        <v>0</v>
      </c>
      <c r="AT418">
        <v>70</v>
      </c>
      <c r="AU418">
        <v>10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0</v>
      </c>
      <c r="BI418">
        <v>4</v>
      </c>
      <c r="BJ418" t="s">
        <v>180</v>
      </c>
      <c r="BM418">
        <v>0</v>
      </c>
      <c r="BN418">
        <v>0</v>
      </c>
      <c r="BO418" t="s">
        <v>3</v>
      </c>
      <c r="BP418">
        <v>0</v>
      </c>
      <c r="BQ418">
        <v>1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70</v>
      </c>
      <c r="CA418">
        <v>10</v>
      </c>
      <c r="CB418" t="s">
        <v>3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212"/>
        <v>6317.36</v>
      </c>
      <c r="CQ418">
        <f t="shared" si="213"/>
        <v>0.06</v>
      </c>
      <c r="CR418">
        <f>(((((ET418*2))*BB418-((EU418*2))*BS418)+AE418*BS418)*AV418)</f>
        <v>0</v>
      </c>
      <c r="CS418">
        <f t="shared" si="214"/>
        <v>0</v>
      </c>
      <c r="CT418">
        <f t="shared" si="215"/>
        <v>3158.62</v>
      </c>
      <c r="CU418">
        <f t="shared" si="216"/>
        <v>0</v>
      </c>
      <c r="CV418">
        <f t="shared" si="217"/>
        <v>4.76</v>
      </c>
      <c r="CW418">
        <f t="shared" si="218"/>
        <v>0</v>
      </c>
      <c r="CX418">
        <f t="shared" si="219"/>
        <v>0</v>
      </c>
      <c r="CY418">
        <f t="shared" si="220"/>
        <v>4422.0680000000002</v>
      </c>
      <c r="CZ418">
        <f t="shared" si="221"/>
        <v>631.72399999999993</v>
      </c>
      <c r="DC418" t="s">
        <v>3</v>
      </c>
      <c r="DD418" t="s">
        <v>181</v>
      </c>
      <c r="DE418" t="s">
        <v>181</v>
      </c>
      <c r="DF418" t="s">
        <v>181</v>
      </c>
      <c r="DG418" t="s">
        <v>181</v>
      </c>
      <c r="DH418" t="s">
        <v>3</v>
      </c>
      <c r="DI418" t="s">
        <v>181</v>
      </c>
      <c r="DJ418" t="s">
        <v>181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1013</v>
      </c>
      <c r="DV418" t="s">
        <v>175</v>
      </c>
      <c r="DW418" t="s">
        <v>175</v>
      </c>
      <c r="DX418">
        <v>1</v>
      </c>
      <c r="DZ418" t="s">
        <v>3</v>
      </c>
      <c r="EA418" t="s">
        <v>3</v>
      </c>
      <c r="EB418" t="s">
        <v>3</v>
      </c>
      <c r="EC418" t="s">
        <v>3</v>
      </c>
      <c r="EE418">
        <v>1441815344</v>
      </c>
      <c r="EF418">
        <v>1</v>
      </c>
      <c r="EG418" t="s">
        <v>21</v>
      </c>
      <c r="EH418">
        <v>0</v>
      </c>
      <c r="EI418" t="s">
        <v>3</v>
      </c>
      <c r="EJ418">
        <v>4</v>
      </c>
      <c r="EK418">
        <v>0</v>
      </c>
      <c r="EL418" t="s">
        <v>22</v>
      </c>
      <c r="EM418" t="s">
        <v>23</v>
      </c>
      <c r="EO418" t="s">
        <v>3</v>
      </c>
      <c r="EQ418">
        <v>0</v>
      </c>
      <c r="ER418">
        <v>1579.34</v>
      </c>
      <c r="ES418">
        <v>0.03</v>
      </c>
      <c r="ET418">
        <v>0</v>
      </c>
      <c r="EU418">
        <v>0</v>
      </c>
      <c r="EV418">
        <v>1579.31</v>
      </c>
      <c r="EW418">
        <v>2.38</v>
      </c>
      <c r="EX418">
        <v>0</v>
      </c>
      <c r="EY418">
        <v>0</v>
      </c>
      <c r="FQ418">
        <v>0</v>
      </c>
      <c r="FR418">
        <f t="shared" si="222"/>
        <v>0</v>
      </c>
      <c r="FS418">
        <v>0</v>
      </c>
      <c r="FX418">
        <v>70</v>
      </c>
      <c r="FY418">
        <v>10</v>
      </c>
      <c r="GA418" t="s">
        <v>3</v>
      </c>
      <c r="GD418">
        <v>0</v>
      </c>
      <c r="GF418">
        <v>1520162509</v>
      </c>
      <c r="GG418">
        <v>2</v>
      </c>
      <c r="GH418">
        <v>1</v>
      </c>
      <c r="GI418">
        <v>-2</v>
      </c>
      <c r="GJ418">
        <v>0</v>
      </c>
      <c r="GK418">
        <f>ROUND(R418*(R12)/100,2)</f>
        <v>0</v>
      </c>
      <c r="GL418">
        <f t="shared" si="223"/>
        <v>0</v>
      </c>
      <c r="GM418">
        <f t="shared" si="224"/>
        <v>11371.15</v>
      </c>
      <c r="GN418">
        <f t="shared" si="225"/>
        <v>0</v>
      </c>
      <c r="GO418">
        <f t="shared" si="226"/>
        <v>0</v>
      </c>
      <c r="GP418">
        <f t="shared" si="227"/>
        <v>11371.15</v>
      </c>
      <c r="GR418">
        <v>0</v>
      </c>
      <c r="GS418">
        <v>3</v>
      </c>
      <c r="GT418">
        <v>0</v>
      </c>
      <c r="GU418" t="s">
        <v>3</v>
      </c>
      <c r="GV418">
        <f t="shared" si="228"/>
        <v>0</v>
      </c>
      <c r="GW418">
        <v>1</v>
      </c>
      <c r="GX418">
        <f t="shared" si="229"/>
        <v>0</v>
      </c>
      <c r="HA418">
        <v>0</v>
      </c>
      <c r="HB418">
        <v>0</v>
      </c>
      <c r="HC418">
        <f t="shared" si="230"/>
        <v>0</v>
      </c>
      <c r="HE418" t="s">
        <v>3</v>
      </c>
      <c r="HF418" t="s">
        <v>3</v>
      </c>
      <c r="HM418" t="s">
        <v>3</v>
      </c>
      <c r="HN418" t="s">
        <v>3</v>
      </c>
      <c r="HO418" t="s">
        <v>3</v>
      </c>
      <c r="HP418" t="s">
        <v>3</v>
      </c>
      <c r="HQ418" t="s">
        <v>3</v>
      </c>
      <c r="IK418">
        <v>0</v>
      </c>
    </row>
    <row r="419" spans="1:245" x14ac:dyDescent="0.2">
      <c r="A419">
        <v>17</v>
      </c>
      <c r="B419">
        <v>1</v>
      </c>
      <c r="D419">
        <f>ROW(EtalonRes!A91)</f>
        <v>91</v>
      </c>
      <c r="E419" t="s">
        <v>3</v>
      </c>
      <c r="F419" t="s">
        <v>182</v>
      </c>
      <c r="G419" t="s">
        <v>183</v>
      </c>
      <c r="H419" t="s">
        <v>175</v>
      </c>
      <c r="I419">
        <v>2</v>
      </c>
      <c r="J419">
        <v>0</v>
      </c>
      <c r="K419">
        <v>2</v>
      </c>
      <c r="O419">
        <f t="shared" si="196"/>
        <v>2919.88</v>
      </c>
      <c r="P419">
        <f t="shared" si="197"/>
        <v>0.16</v>
      </c>
      <c r="Q419">
        <f t="shared" si="198"/>
        <v>0</v>
      </c>
      <c r="R419">
        <f t="shared" si="199"/>
        <v>0</v>
      </c>
      <c r="S419">
        <f t="shared" si="200"/>
        <v>2919.72</v>
      </c>
      <c r="T419">
        <f t="shared" si="201"/>
        <v>0</v>
      </c>
      <c r="U419">
        <f t="shared" si="202"/>
        <v>4.4000000000000004</v>
      </c>
      <c r="V419">
        <f t="shared" si="203"/>
        <v>0</v>
      </c>
      <c r="W419">
        <f t="shared" si="204"/>
        <v>0</v>
      </c>
      <c r="X419">
        <f t="shared" si="205"/>
        <v>2043.8</v>
      </c>
      <c r="Y419">
        <f t="shared" si="206"/>
        <v>291.97000000000003</v>
      </c>
      <c r="AA419">
        <v>-1</v>
      </c>
      <c r="AB419">
        <f t="shared" si="207"/>
        <v>1459.94</v>
      </c>
      <c r="AC419">
        <f>ROUND(((ES419*2)),6)</f>
        <v>0.08</v>
      </c>
      <c r="AD419">
        <f>ROUND(((((ET419*2))-((EU419*2)))+AE419),6)</f>
        <v>0</v>
      </c>
      <c r="AE419">
        <f>ROUND(((EU419*2)),6)</f>
        <v>0</v>
      </c>
      <c r="AF419">
        <f>ROUND(((EV419*2)),6)</f>
        <v>1459.86</v>
      </c>
      <c r="AG419">
        <f t="shared" si="209"/>
        <v>0</v>
      </c>
      <c r="AH419">
        <f>((EW419*2))</f>
        <v>2.2000000000000002</v>
      </c>
      <c r="AI419">
        <f>((EX419*2))</f>
        <v>0</v>
      </c>
      <c r="AJ419">
        <f t="shared" si="211"/>
        <v>0</v>
      </c>
      <c r="AK419">
        <v>729.97</v>
      </c>
      <c r="AL419">
        <v>0.04</v>
      </c>
      <c r="AM419">
        <v>0</v>
      </c>
      <c r="AN419">
        <v>0</v>
      </c>
      <c r="AO419">
        <v>729.93</v>
      </c>
      <c r="AP419">
        <v>0</v>
      </c>
      <c r="AQ419">
        <v>1.1000000000000001</v>
      </c>
      <c r="AR419">
        <v>0</v>
      </c>
      <c r="AS419">
        <v>0</v>
      </c>
      <c r="AT419">
        <v>70</v>
      </c>
      <c r="AU419">
        <v>10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3</v>
      </c>
      <c r="BE419" t="s">
        <v>3</v>
      </c>
      <c r="BF419" t="s">
        <v>3</v>
      </c>
      <c r="BG419" t="s">
        <v>3</v>
      </c>
      <c r="BH419">
        <v>0</v>
      </c>
      <c r="BI419">
        <v>4</v>
      </c>
      <c r="BJ419" t="s">
        <v>184</v>
      </c>
      <c r="BM419">
        <v>0</v>
      </c>
      <c r="BN419">
        <v>0</v>
      </c>
      <c r="BO419" t="s">
        <v>3</v>
      </c>
      <c r="BP419">
        <v>0</v>
      </c>
      <c r="BQ419">
        <v>1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70</v>
      </c>
      <c r="CA419">
        <v>10</v>
      </c>
      <c r="CB419" t="s">
        <v>3</v>
      </c>
      <c r="CE419">
        <v>0</v>
      </c>
      <c r="CF419">
        <v>0</v>
      </c>
      <c r="CG419">
        <v>0</v>
      </c>
      <c r="CM419">
        <v>0</v>
      </c>
      <c r="CN419" t="s">
        <v>3</v>
      </c>
      <c r="CO419">
        <v>0</v>
      </c>
      <c r="CP419">
        <f t="shared" si="212"/>
        <v>2919.8799999999997</v>
      </c>
      <c r="CQ419">
        <f t="shared" si="213"/>
        <v>0.08</v>
      </c>
      <c r="CR419">
        <f>(((((ET419*2))*BB419-((EU419*2))*BS419)+AE419*BS419)*AV419)</f>
        <v>0</v>
      </c>
      <c r="CS419">
        <f t="shared" si="214"/>
        <v>0</v>
      </c>
      <c r="CT419">
        <f t="shared" si="215"/>
        <v>1459.86</v>
      </c>
      <c r="CU419">
        <f t="shared" si="216"/>
        <v>0</v>
      </c>
      <c r="CV419">
        <f t="shared" si="217"/>
        <v>2.2000000000000002</v>
      </c>
      <c r="CW419">
        <f t="shared" si="218"/>
        <v>0</v>
      </c>
      <c r="CX419">
        <f t="shared" si="219"/>
        <v>0</v>
      </c>
      <c r="CY419">
        <f t="shared" si="220"/>
        <v>2043.8039999999999</v>
      </c>
      <c r="CZ419">
        <f t="shared" si="221"/>
        <v>291.97199999999998</v>
      </c>
      <c r="DC419" t="s">
        <v>3</v>
      </c>
      <c r="DD419" t="s">
        <v>181</v>
      </c>
      <c r="DE419" t="s">
        <v>181</v>
      </c>
      <c r="DF419" t="s">
        <v>181</v>
      </c>
      <c r="DG419" t="s">
        <v>181</v>
      </c>
      <c r="DH419" t="s">
        <v>3</v>
      </c>
      <c r="DI419" t="s">
        <v>181</v>
      </c>
      <c r="DJ419" t="s">
        <v>181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1013</v>
      </c>
      <c r="DV419" t="s">
        <v>175</v>
      </c>
      <c r="DW419" t="s">
        <v>175</v>
      </c>
      <c r="DX419">
        <v>1</v>
      </c>
      <c r="DZ419" t="s">
        <v>3</v>
      </c>
      <c r="EA419" t="s">
        <v>3</v>
      </c>
      <c r="EB419" t="s">
        <v>3</v>
      </c>
      <c r="EC419" t="s">
        <v>3</v>
      </c>
      <c r="EE419">
        <v>1441815344</v>
      </c>
      <c r="EF419">
        <v>1</v>
      </c>
      <c r="EG419" t="s">
        <v>21</v>
      </c>
      <c r="EH419">
        <v>0</v>
      </c>
      <c r="EI419" t="s">
        <v>3</v>
      </c>
      <c r="EJ419">
        <v>4</v>
      </c>
      <c r="EK419">
        <v>0</v>
      </c>
      <c r="EL419" t="s">
        <v>22</v>
      </c>
      <c r="EM419" t="s">
        <v>23</v>
      </c>
      <c r="EO419" t="s">
        <v>3</v>
      </c>
      <c r="EQ419">
        <v>1024</v>
      </c>
      <c r="ER419">
        <v>729.97</v>
      </c>
      <c r="ES419">
        <v>0.04</v>
      </c>
      <c r="ET419">
        <v>0</v>
      </c>
      <c r="EU419">
        <v>0</v>
      </c>
      <c r="EV419">
        <v>729.93</v>
      </c>
      <c r="EW419">
        <v>1.1000000000000001</v>
      </c>
      <c r="EX419">
        <v>0</v>
      </c>
      <c r="EY419">
        <v>0</v>
      </c>
      <c r="FQ419">
        <v>0</v>
      </c>
      <c r="FR419">
        <f t="shared" si="222"/>
        <v>0</v>
      </c>
      <c r="FS419">
        <v>0</v>
      </c>
      <c r="FX419">
        <v>70</v>
      </c>
      <c r="FY419">
        <v>10</v>
      </c>
      <c r="GA419" t="s">
        <v>3</v>
      </c>
      <c r="GD419">
        <v>0</v>
      </c>
      <c r="GF419">
        <v>-1196827880</v>
      </c>
      <c r="GG419">
        <v>2</v>
      </c>
      <c r="GH419">
        <v>1</v>
      </c>
      <c r="GI419">
        <v>-2</v>
      </c>
      <c r="GJ419">
        <v>0</v>
      </c>
      <c r="GK419">
        <f>ROUND(R419*(R12)/100,2)</f>
        <v>0</v>
      </c>
      <c r="GL419">
        <f t="shared" si="223"/>
        <v>0</v>
      </c>
      <c r="GM419">
        <f t="shared" si="224"/>
        <v>5255.65</v>
      </c>
      <c r="GN419">
        <f t="shared" si="225"/>
        <v>0</v>
      </c>
      <c r="GO419">
        <f t="shared" si="226"/>
        <v>0</v>
      </c>
      <c r="GP419">
        <f t="shared" si="227"/>
        <v>5255.65</v>
      </c>
      <c r="GR419">
        <v>0</v>
      </c>
      <c r="GS419">
        <v>3</v>
      </c>
      <c r="GT419">
        <v>0</v>
      </c>
      <c r="GU419" t="s">
        <v>3</v>
      </c>
      <c r="GV419">
        <f t="shared" si="228"/>
        <v>0</v>
      </c>
      <c r="GW419">
        <v>1</v>
      </c>
      <c r="GX419">
        <f t="shared" si="229"/>
        <v>0</v>
      </c>
      <c r="HA419">
        <v>0</v>
      </c>
      <c r="HB419">
        <v>0</v>
      </c>
      <c r="HC419">
        <f t="shared" si="230"/>
        <v>0</v>
      </c>
      <c r="HE419" t="s">
        <v>3</v>
      </c>
      <c r="HF419" t="s">
        <v>3</v>
      </c>
      <c r="HM419" t="s">
        <v>3</v>
      </c>
      <c r="HN419" t="s">
        <v>3</v>
      </c>
      <c r="HO419" t="s">
        <v>3</v>
      </c>
      <c r="HP419" t="s">
        <v>3</v>
      </c>
      <c r="HQ419" t="s">
        <v>3</v>
      </c>
      <c r="IK419">
        <v>0</v>
      </c>
    </row>
    <row r="420" spans="1:245" x14ac:dyDescent="0.2">
      <c r="A420">
        <v>17</v>
      </c>
      <c r="B420">
        <v>1</v>
      </c>
      <c r="C420">
        <f>ROW(SmtRes!A35)</f>
        <v>35</v>
      </c>
      <c r="D420">
        <f>ROW(EtalonRes!A95)</f>
        <v>95</v>
      </c>
      <c r="E420" t="s">
        <v>3</v>
      </c>
      <c r="F420" t="s">
        <v>189</v>
      </c>
      <c r="G420" t="s">
        <v>190</v>
      </c>
      <c r="H420" t="s">
        <v>175</v>
      </c>
      <c r="I420">
        <v>2</v>
      </c>
      <c r="J420">
        <v>0</v>
      </c>
      <c r="K420">
        <v>2</v>
      </c>
      <c r="O420">
        <f t="shared" si="196"/>
        <v>14200.68</v>
      </c>
      <c r="P420">
        <f t="shared" si="197"/>
        <v>9.44</v>
      </c>
      <c r="Q420">
        <f t="shared" si="198"/>
        <v>6352.86</v>
      </c>
      <c r="R420">
        <f t="shared" si="199"/>
        <v>4015.62</v>
      </c>
      <c r="S420">
        <f t="shared" si="200"/>
        <v>7838.38</v>
      </c>
      <c r="T420">
        <f t="shared" si="201"/>
        <v>0</v>
      </c>
      <c r="U420">
        <f t="shared" si="202"/>
        <v>12.88</v>
      </c>
      <c r="V420">
        <f t="shared" si="203"/>
        <v>0</v>
      </c>
      <c r="W420">
        <f t="shared" si="204"/>
        <v>0</v>
      </c>
      <c r="X420">
        <f t="shared" si="205"/>
        <v>5486.87</v>
      </c>
      <c r="Y420">
        <f t="shared" si="206"/>
        <v>783.84</v>
      </c>
      <c r="AA420">
        <v>-1</v>
      </c>
      <c r="AB420">
        <f t="shared" si="207"/>
        <v>7100.34</v>
      </c>
      <c r="AC420">
        <f>ROUND((ES420),6)</f>
        <v>4.72</v>
      </c>
      <c r="AD420">
        <f>ROUND((((ET420)-(EU420))+AE420),6)</f>
        <v>3176.43</v>
      </c>
      <c r="AE420">
        <f>ROUND((EU420),6)</f>
        <v>2007.81</v>
      </c>
      <c r="AF420">
        <f>ROUND((EV420),6)</f>
        <v>3919.19</v>
      </c>
      <c r="AG420">
        <f t="shared" si="209"/>
        <v>0</v>
      </c>
      <c r="AH420">
        <f>(EW420)</f>
        <v>6.44</v>
      </c>
      <c r="AI420">
        <f>(EX420)</f>
        <v>0</v>
      </c>
      <c r="AJ420">
        <f t="shared" si="211"/>
        <v>0</v>
      </c>
      <c r="AK420">
        <v>7100.34</v>
      </c>
      <c r="AL420">
        <v>4.72</v>
      </c>
      <c r="AM420">
        <v>3176.43</v>
      </c>
      <c r="AN420">
        <v>2007.81</v>
      </c>
      <c r="AO420">
        <v>3919.19</v>
      </c>
      <c r="AP420">
        <v>0</v>
      </c>
      <c r="AQ420">
        <v>6.44</v>
      </c>
      <c r="AR420">
        <v>0</v>
      </c>
      <c r="AS420">
        <v>0</v>
      </c>
      <c r="AT420">
        <v>70</v>
      </c>
      <c r="AU420">
        <v>10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3</v>
      </c>
      <c r="BE420" t="s">
        <v>3</v>
      </c>
      <c r="BF420" t="s">
        <v>3</v>
      </c>
      <c r="BG420" t="s">
        <v>3</v>
      </c>
      <c r="BH420">
        <v>0</v>
      </c>
      <c r="BI420">
        <v>4</v>
      </c>
      <c r="BJ420" t="s">
        <v>191</v>
      </c>
      <c r="BM420">
        <v>0</v>
      </c>
      <c r="BN420">
        <v>0</v>
      </c>
      <c r="BO420" t="s">
        <v>3</v>
      </c>
      <c r="BP420">
        <v>0</v>
      </c>
      <c r="BQ420">
        <v>1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3</v>
      </c>
      <c r="BZ420">
        <v>70</v>
      </c>
      <c r="CA420">
        <v>10</v>
      </c>
      <c r="CB420" t="s">
        <v>3</v>
      </c>
      <c r="CE420">
        <v>0</v>
      </c>
      <c r="CF420">
        <v>0</v>
      </c>
      <c r="CG420">
        <v>0</v>
      </c>
      <c r="CM420">
        <v>0</v>
      </c>
      <c r="CN420" t="s">
        <v>3</v>
      </c>
      <c r="CO420">
        <v>0</v>
      </c>
      <c r="CP420">
        <f t="shared" si="212"/>
        <v>14200.68</v>
      </c>
      <c r="CQ420">
        <f t="shared" si="213"/>
        <v>4.72</v>
      </c>
      <c r="CR420">
        <f>((((ET420)*BB420-(EU420)*BS420)+AE420*BS420)*AV420)</f>
        <v>3176.43</v>
      </c>
      <c r="CS420">
        <f t="shared" si="214"/>
        <v>2007.81</v>
      </c>
      <c r="CT420">
        <f t="shared" si="215"/>
        <v>3919.19</v>
      </c>
      <c r="CU420">
        <f t="shared" si="216"/>
        <v>0</v>
      </c>
      <c r="CV420">
        <f t="shared" si="217"/>
        <v>6.44</v>
      </c>
      <c r="CW420">
        <f t="shared" si="218"/>
        <v>0</v>
      </c>
      <c r="CX420">
        <f t="shared" si="219"/>
        <v>0</v>
      </c>
      <c r="CY420">
        <f t="shared" si="220"/>
        <v>5486.866</v>
      </c>
      <c r="CZ420">
        <f t="shared" si="221"/>
        <v>783.83800000000008</v>
      </c>
      <c r="DC420" t="s">
        <v>3</v>
      </c>
      <c r="DD420" t="s">
        <v>3</v>
      </c>
      <c r="DE420" t="s">
        <v>3</v>
      </c>
      <c r="DF420" t="s">
        <v>3</v>
      </c>
      <c r="DG420" t="s">
        <v>3</v>
      </c>
      <c r="DH420" t="s">
        <v>3</v>
      </c>
      <c r="DI420" t="s">
        <v>3</v>
      </c>
      <c r="DJ420" t="s">
        <v>3</v>
      </c>
      <c r="DK420" t="s">
        <v>3</v>
      </c>
      <c r="DL420" t="s">
        <v>3</v>
      </c>
      <c r="DM420" t="s">
        <v>3</v>
      </c>
      <c r="DN420">
        <v>0</v>
      </c>
      <c r="DO420">
        <v>0</v>
      </c>
      <c r="DP420">
        <v>1</v>
      </c>
      <c r="DQ420">
        <v>1</v>
      </c>
      <c r="DU420">
        <v>1013</v>
      </c>
      <c r="DV420" t="s">
        <v>175</v>
      </c>
      <c r="DW420" t="s">
        <v>175</v>
      </c>
      <c r="DX420">
        <v>1</v>
      </c>
      <c r="DZ420" t="s">
        <v>3</v>
      </c>
      <c r="EA420" t="s">
        <v>3</v>
      </c>
      <c r="EB420" t="s">
        <v>3</v>
      </c>
      <c r="EC420" t="s">
        <v>3</v>
      </c>
      <c r="EE420">
        <v>1441815344</v>
      </c>
      <c r="EF420">
        <v>1</v>
      </c>
      <c r="EG420" t="s">
        <v>21</v>
      </c>
      <c r="EH420">
        <v>0</v>
      </c>
      <c r="EI420" t="s">
        <v>3</v>
      </c>
      <c r="EJ420">
        <v>4</v>
      </c>
      <c r="EK420">
        <v>0</v>
      </c>
      <c r="EL420" t="s">
        <v>22</v>
      </c>
      <c r="EM420" t="s">
        <v>23</v>
      </c>
      <c r="EO420" t="s">
        <v>3</v>
      </c>
      <c r="EQ420">
        <v>1311744</v>
      </c>
      <c r="ER420">
        <v>7100.34</v>
      </c>
      <c r="ES420">
        <v>4.72</v>
      </c>
      <c r="ET420">
        <v>3176.43</v>
      </c>
      <c r="EU420">
        <v>2007.81</v>
      </c>
      <c r="EV420">
        <v>3919.19</v>
      </c>
      <c r="EW420">
        <v>6.44</v>
      </c>
      <c r="EX420">
        <v>0</v>
      </c>
      <c r="EY420">
        <v>0</v>
      </c>
      <c r="FQ420">
        <v>0</v>
      </c>
      <c r="FR420">
        <f t="shared" si="222"/>
        <v>0</v>
      </c>
      <c r="FS420">
        <v>0</v>
      </c>
      <c r="FX420">
        <v>70</v>
      </c>
      <c r="FY420">
        <v>10</v>
      </c>
      <c r="GA420" t="s">
        <v>3</v>
      </c>
      <c r="GD420">
        <v>0</v>
      </c>
      <c r="GF420">
        <v>438330013</v>
      </c>
      <c r="GG420">
        <v>2</v>
      </c>
      <c r="GH420">
        <v>1</v>
      </c>
      <c r="GI420">
        <v>-2</v>
      </c>
      <c r="GJ420">
        <v>0</v>
      </c>
      <c r="GK420">
        <f>ROUND(R420*(R12)/100,2)</f>
        <v>4336.87</v>
      </c>
      <c r="GL420">
        <f t="shared" si="223"/>
        <v>0</v>
      </c>
      <c r="GM420">
        <f t="shared" si="224"/>
        <v>24808.26</v>
      </c>
      <c r="GN420">
        <f t="shared" si="225"/>
        <v>0</v>
      </c>
      <c r="GO420">
        <f t="shared" si="226"/>
        <v>0</v>
      </c>
      <c r="GP420">
        <f t="shared" si="227"/>
        <v>24808.26</v>
      </c>
      <c r="GR420">
        <v>0</v>
      </c>
      <c r="GS420">
        <v>3</v>
      </c>
      <c r="GT420">
        <v>0</v>
      </c>
      <c r="GU420" t="s">
        <v>3</v>
      </c>
      <c r="GV420">
        <f t="shared" si="228"/>
        <v>0</v>
      </c>
      <c r="GW420">
        <v>1</v>
      </c>
      <c r="GX420">
        <f t="shared" si="229"/>
        <v>0</v>
      </c>
      <c r="HA420">
        <v>0</v>
      </c>
      <c r="HB420">
        <v>0</v>
      </c>
      <c r="HC420">
        <f t="shared" si="230"/>
        <v>0</v>
      </c>
      <c r="HE420" t="s">
        <v>3</v>
      </c>
      <c r="HF420" t="s">
        <v>3</v>
      </c>
      <c r="HM420" t="s">
        <v>3</v>
      </c>
      <c r="HN420" t="s">
        <v>3</v>
      </c>
      <c r="HO420" t="s">
        <v>3</v>
      </c>
      <c r="HP420" t="s">
        <v>3</v>
      </c>
      <c r="HQ420" t="s">
        <v>3</v>
      </c>
      <c r="IK420">
        <v>0</v>
      </c>
    </row>
    <row r="421" spans="1:245" x14ac:dyDescent="0.2">
      <c r="A421">
        <v>17</v>
      </c>
      <c r="B421">
        <v>1</v>
      </c>
      <c r="D421">
        <f>ROW(EtalonRes!A97)</f>
        <v>97</v>
      </c>
      <c r="E421" t="s">
        <v>192</v>
      </c>
      <c r="F421" t="s">
        <v>128</v>
      </c>
      <c r="G421" t="s">
        <v>193</v>
      </c>
      <c r="H421" t="s">
        <v>18</v>
      </c>
      <c r="I421">
        <v>16</v>
      </c>
      <c r="J421">
        <v>0</v>
      </c>
      <c r="K421">
        <v>16</v>
      </c>
      <c r="O421">
        <f t="shared" si="196"/>
        <v>4578.88</v>
      </c>
      <c r="P421">
        <f t="shared" si="197"/>
        <v>0</v>
      </c>
      <c r="Q421">
        <f t="shared" si="198"/>
        <v>1250.8800000000001</v>
      </c>
      <c r="R421">
        <f t="shared" si="199"/>
        <v>793.12</v>
      </c>
      <c r="S421">
        <f t="shared" si="200"/>
        <v>3328</v>
      </c>
      <c r="T421">
        <f t="shared" si="201"/>
        <v>0</v>
      </c>
      <c r="U421">
        <f t="shared" si="202"/>
        <v>5.92</v>
      </c>
      <c r="V421">
        <f t="shared" si="203"/>
        <v>0</v>
      </c>
      <c r="W421">
        <f t="shared" si="204"/>
        <v>0</v>
      </c>
      <c r="X421">
        <f t="shared" si="205"/>
        <v>2329.6</v>
      </c>
      <c r="Y421">
        <f t="shared" si="206"/>
        <v>332.8</v>
      </c>
      <c r="AA421">
        <v>1473080740</v>
      </c>
      <c r="AB421">
        <f t="shared" si="207"/>
        <v>286.18</v>
      </c>
      <c r="AC421">
        <f>ROUND((ES421),6)</f>
        <v>0</v>
      </c>
      <c r="AD421">
        <f>ROUND((((ET421)-(EU421))+AE421),6)</f>
        <v>78.180000000000007</v>
      </c>
      <c r="AE421">
        <f>ROUND((EU421),6)</f>
        <v>49.57</v>
      </c>
      <c r="AF421">
        <f>ROUND((EV421),6)</f>
        <v>208</v>
      </c>
      <c r="AG421">
        <f t="shared" si="209"/>
        <v>0</v>
      </c>
      <c r="AH421">
        <f>(EW421)</f>
        <v>0.37</v>
      </c>
      <c r="AI421">
        <f>(EX421)</f>
        <v>0</v>
      </c>
      <c r="AJ421">
        <f t="shared" si="211"/>
        <v>0</v>
      </c>
      <c r="AK421">
        <v>286.18</v>
      </c>
      <c r="AL421">
        <v>0</v>
      </c>
      <c r="AM421">
        <v>78.180000000000007</v>
      </c>
      <c r="AN421">
        <v>49.57</v>
      </c>
      <c r="AO421">
        <v>208</v>
      </c>
      <c r="AP421">
        <v>0</v>
      </c>
      <c r="AQ421">
        <v>0.37</v>
      </c>
      <c r="AR421">
        <v>0</v>
      </c>
      <c r="AS421">
        <v>0</v>
      </c>
      <c r="AT421">
        <v>70</v>
      </c>
      <c r="AU421">
        <v>10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3</v>
      </c>
      <c r="BE421" t="s">
        <v>3</v>
      </c>
      <c r="BF421" t="s">
        <v>3</v>
      </c>
      <c r="BG421" t="s">
        <v>3</v>
      </c>
      <c r="BH421">
        <v>0</v>
      </c>
      <c r="BI421">
        <v>4</v>
      </c>
      <c r="BJ421" t="s">
        <v>130</v>
      </c>
      <c r="BM421">
        <v>0</v>
      </c>
      <c r="BN421">
        <v>0</v>
      </c>
      <c r="BO421" t="s">
        <v>3</v>
      </c>
      <c r="BP421">
        <v>0</v>
      </c>
      <c r="BQ421">
        <v>1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70</v>
      </c>
      <c r="CA421">
        <v>10</v>
      </c>
      <c r="CB421" t="s">
        <v>3</v>
      </c>
      <c r="CE421">
        <v>0</v>
      </c>
      <c r="CF421">
        <v>0</v>
      </c>
      <c r="CG421">
        <v>0</v>
      </c>
      <c r="CM421">
        <v>0</v>
      </c>
      <c r="CN421" t="s">
        <v>3</v>
      </c>
      <c r="CO421">
        <v>0</v>
      </c>
      <c r="CP421">
        <f t="shared" si="212"/>
        <v>4578.88</v>
      </c>
      <c r="CQ421">
        <f t="shared" si="213"/>
        <v>0</v>
      </c>
      <c r="CR421">
        <f>((((ET421)*BB421-(EU421)*BS421)+AE421*BS421)*AV421)</f>
        <v>78.180000000000007</v>
      </c>
      <c r="CS421">
        <f t="shared" si="214"/>
        <v>49.57</v>
      </c>
      <c r="CT421">
        <f t="shared" si="215"/>
        <v>208</v>
      </c>
      <c r="CU421">
        <f t="shared" si="216"/>
        <v>0</v>
      </c>
      <c r="CV421">
        <f t="shared" si="217"/>
        <v>0.37</v>
      </c>
      <c r="CW421">
        <f t="shared" si="218"/>
        <v>0</v>
      </c>
      <c r="CX421">
        <f t="shared" si="219"/>
        <v>0</v>
      </c>
      <c r="CY421">
        <f t="shared" si="220"/>
        <v>2329.6</v>
      </c>
      <c r="CZ421">
        <f t="shared" si="221"/>
        <v>332.8</v>
      </c>
      <c r="DC421" t="s">
        <v>3</v>
      </c>
      <c r="DD421" t="s">
        <v>3</v>
      </c>
      <c r="DE421" t="s">
        <v>3</v>
      </c>
      <c r="DF421" t="s">
        <v>3</v>
      </c>
      <c r="DG421" t="s">
        <v>3</v>
      </c>
      <c r="DH421" t="s">
        <v>3</v>
      </c>
      <c r="DI421" t="s">
        <v>3</v>
      </c>
      <c r="DJ421" t="s">
        <v>3</v>
      </c>
      <c r="DK421" t="s">
        <v>3</v>
      </c>
      <c r="DL421" t="s">
        <v>3</v>
      </c>
      <c r="DM421" t="s">
        <v>3</v>
      </c>
      <c r="DN421">
        <v>0</v>
      </c>
      <c r="DO421">
        <v>0</v>
      </c>
      <c r="DP421">
        <v>1</v>
      </c>
      <c r="DQ421">
        <v>1</v>
      </c>
      <c r="DU421">
        <v>16987630</v>
      </c>
      <c r="DV421" t="s">
        <v>18</v>
      </c>
      <c r="DW421" t="s">
        <v>18</v>
      </c>
      <c r="DX421">
        <v>1</v>
      </c>
      <c r="DZ421" t="s">
        <v>3</v>
      </c>
      <c r="EA421" t="s">
        <v>3</v>
      </c>
      <c r="EB421" t="s">
        <v>3</v>
      </c>
      <c r="EC421" t="s">
        <v>3</v>
      </c>
      <c r="EE421">
        <v>1441815344</v>
      </c>
      <c r="EF421">
        <v>1</v>
      </c>
      <c r="EG421" t="s">
        <v>21</v>
      </c>
      <c r="EH421">
        <v>0</v>
      </c>
      <c r="EI421" t="s">
        <v>3</v>
      </c>
      <c r="EJ421">
        <v>4</v>
      </c>
      <c r="EK421">
        <v>0</v>
      </c>
      <c r="EL421" t="s">
        <v>22</v>
      </c>
      <c r="EM421" t="s">
        <v>23</v>
      </c>
      <c r="EO421" t="s">
        <v>3</v>
      </c>
      <c r="EQ421">
        <v>0</v>
      </c>
      <c r="ER421">
        <v>286.18</v>
      </c>
      <c r="ES421">
        <v>0</v>
      </c>
      <c r="ET421">
        <v>78.180000000000007</v>
      </c>
      <c r="EU421">
        <v>49.57</v>
      </c>
      <c r="EV421">
        <v>208</v>
      </c>
      <c r="EW421">
        <v>0.37</v>
      </c>
      <c r="EX421">
        <v>0</v>
      </c>
      <c r="EY421">
        <v>0</v>
      </c>
      <c r="FQ421">
        <v>0</v>
      </c>
      <c r="FR421">
        <f t="shared" si="222"/>
        <v>0</v>
      </c>
      <c r="FS421">
        <v>0</v>
      </c>
      <c r="FX421">
        <v>70</v>
      </c>
      <c r="FY421">
        <v>10</v>
      </c>
      <c r="GA421" t="s">
        <v>3</v>
      </c>
      <c r="GD421">
        <v>0</v>
      </c>
      <c r="GF421">
        <v>-1383588751</v>
      </c>
      <c r="GG421">
        <v>2</v>
      </c>
      <c r="GH421">
        <v>1</v>
      </c>
      <c r="GI421">
        <v>-2</v>
      </c>
      <c r="GJ421">
        <v>0</v>
      </c>
      <c r="GK421">
        <f>ROUND(R421*(R12)/100,2)</f>
        <v>856.57</v>
      </c>
      <c r="GL421">
        <f t="shared" si="223"/>
        <v>0</v>
      </c>
      <c r="GM421">
        <f t="shared" si="224"/>
        <v>8097.85</v>
      </c>
      <c r="GN421">
        <f t="shared" si="225"/>
        <v>0</v>
      </c>
      <c r="GO421">
        <f t="shared" si="226"/>
        <v>0</v>
      </c>
      <c r="GP421">
        <f t="shared" si="227"/>
        <v>8097.85</v>
      </c>
      <c r="GR421">
        <v>0</v>
      </c>
      <c r="GS421">
        <v>3</v>
      </c>
      <c r="GT421">
        <v>0</v>
      </c>
      <c r="GU421" t="s">
        <v>3</v>
      </c>
      <c r="GV421">
        <f t="shared" si="228"/>
        <v>0</v>
      </c>
      <c r="GW421">
        <v>1</v>
      </c>
      <c r="GX421">
        <f t="shared" si="229"/>
        <v>0</v>
      </c>
      <c r="HA421">
        <v>0</v>
      </c>
      <c r="HB421">
        <v>0</v>
      </c>
      <c r="HC421">
        <f t="shared" si="230"/>
        <v>0</v>
      </c>
      <c r="HE421" t="s">
        <v>3</v>
      </c>
      <c r="HF421" t="s">
        <v>3</v>
      </c>
      <c r="HM421" t="s">
        <v>3</v>
      </c>
      <c r="HN421" t="s">
        <v>3</v>
      </c>
      <c r="HO421" t="s">
        <v>3</v>
      </c>
      <c r="HP421" t="s">
        <v>3</v>
      </c>
      <c r="HQ421" t="s">
        <v>3</v>
      </c>
      <c r="IK421">
        <v>0</v>
      </c>
    </row>
    <row r="422" spans="1:245" x14ac:dyDescent="0.2">
      <c r="A422">
        <v>17</v>
      </c>
      <c r="B422">
        <v>1</v>
      </c>
      <c r="D422">
        <f>ROW(EtalonRes!A98)</f>
        <v>98</v>
      </c>
      <c r="E422" t="s">
        <v>3</v>
      </c>
      <c r="F422" t="s">
        <v>194</v>
      </c>
      <c r="G422" t="s">
        <v>195</v>
      </c>
      <c r="H422" t="s">
        <v>18</v>
      </c>
      <c r="I422">
        <v>16</v>
      </c>
      <c r="J422">
        <v>0</v>
      </c>
      <c r="K422">
        <v>16</v>
      </c>
      <c r="O422">
        <f t="shared" si="196"/>
        <v>13258.88</v>
      </c>
      <c r="P422">
        <f t="shared" si="197"/>
        <v>0</v>
      </c>
      <c r="Q422">
        <f t="shared" si="198"/>
        <v>0</v>
      </c>
      <c r="R422">
        <f t="shared" si="199"/>
        <v>0</v>
      </c>
      <c r="S422">
        <f t="shared" si="200"/>
        <v>13258.88</v>
      </c>
      <c r="T422">
        <f t="shared" si="201"/>
        <v>0</v>
      </c>
      <c r="U422">
        <f t="shared" si="202"/>
        <v>25.6</v>
      </c>
      <c r="V422">
        <f t="shared" si="203"/>
        <v>0</v>
      </c>
      <c r="W422">
        <f t="shared" si="204"/>
        <v>0</v>
      </c>
      <c r="X422">
        <f t="shared" si="205"/>
        <v>9281.2199999999993</v>
      </c>
      <c r="Y422">
        <f t="shared" si="206"/>
        <v>1325.89</v>
      </c>
      <c r="AA422">
        <v>-1</v>
      </c>
      <c r="AB422">
        <f t="shared" si="207"/>
        <v>828.68</v>
      </c>
      <c r="AC422">
        <f>ROUND(((ES422*4)),6)</f>
        <v>0</v>
      </c>
      <c r="AD422">
        <f>ROUND(((((ET422*4))-((EU422*4)))+AE422),6)</f>
        <v>0</v>
      </c>
      <c r="AE422">
        <f>ROUND(((EU422*4)),6)</f>
        <v>0</v>
      </c>
      <c r="AF422">
        <f>ROUND(((EV422*4)),6)</f>
        <v>828.68</v>
      </c>
      <c r="AG422">
        <f t="shared" si="209"/>
        <v>0</v>
      </c>
      <c r="AH422">
        <f>((EW422*4))</f>
        <v>1.6</v>
      </c>
      <c r="AI422">
        <f>((EX422*4))</f>
        <v>0</v>
      </c>
      <c r="AJ422">
        <f t="shared" si="211"/>
        <v>0</v>
      </c>
      <c r="AK422">
        <v>207.17</v>
      </c>
      <c r="AL422">
        <v>0</v>
      </c>
      <c r="AM422">
        <v>0</v>
      </c>
      <c r="AN422">
        <v>0</v>
      </c>
      <c r="AO422">
        <v>207.17</v>
      </c>
      <c r="AP422">
        <v>0</v>
      </c>
      <c r="AQ422">
        <v>0.4</v>
      </c>
      <c r="AR422">
        <v>0</v>
      </c>
      <c r="AS422">
        <v>0</v>
      </c>
      <c r="AT422">
        <v>70</v>
      </c>
      <c r="AU422">
        <v>10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3</v>
      </c>
      <c r="BE422" t="s">
        <v>3</v>
      </c>
      <c r="BF422" t="s">
        <v>3</v>
      </c>
      <c r="BG422" t="s">
        <v>3</v>
      </c>
      <c r="BH422">
        <v>0</v>
      </c>
      <c r="BI422">
        <v>4</v>
      </c>
      <c r="BJ422" t="s">
        <v>196</v>
      </c>
      <c r="BM422">
        <v>0</v>
      </c>
      <c r="BN422">
        <v>0</v>
      </c>
      <c r="BO422" t="s">
        <v>3</v>
      </c>
      <c r="BP422">
        <v>0</v>
      </c>
      <c r="BQ422">
        <v>1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3</v>
      </c>
      <c r="BZ422">
        <v>70</v>
      </c>
      <c r="CA422">
        <v>10</v>
      </c>
      <c r="CB422" t="s">
        <v>3</v>
      </c>
      <c r="CE422">
        <v>0</v>
      </c>
      <c r="CF422">
        <v>0</v>
      </c>
      <c r="CG422">
        <v>0</v>
      </c>
      <c r="CM422">
        <v>0</v>
      </c>
      <c r="CN422" t="s">
        <v>3</v>
      </c>
      <c r="CO422">
        <v>0</v>
      </c>
      <c r="CP422">
        <f t="shared" si="212"/>
        <v>13258.88</v>
      </c>
      <c r="CQ422">
        <f t="shared" si="213"/>
        <v>0</v>
      </c>
      <c r="CR422">
        <f>(((((ET422*4))*BB422-((EU422*4))*BS422)+AE422*BS422)*AV422)</f>
        <v>0</v>
      </c>
      <c r="CS422">
        <f t="shared" si="214"/>
        <v>0</v>
      </c>
      <c r="CT422">
        <f t="shared" si="215"/>
        <v>828.68</v>
      </c>
      <c r="CU422">
        <f t="shared" si="216"/>
        <v>0</v>
      </c>
      <c r="CV422">
        <f t="shared" si="217"/>
        <v>1.6</v>
      </c>
      <c r="CW422">
        <f t="shared" si="218"/>
        <v>0</v>
      </c>
      <c r="CX422">
        <f t="shared" si="219"/>
        <v>0</v>
      </c>
      <c r="CY422">
        <f t="shared" si="220"/>
        <v>9281.2160000000003</v>
      </c>
      <c r="CZ422">
        <f t="shared" si="221"/>
        <v>1325.8879999999999</v>
      </c>
      <c r="DC422" t="s">
        <v>3</v>
      </c>
      <c r="DD422" t="s">
        <v>28</v>
      </c>
      <c r="DE422" t="s">
        <v>28</v>
      </c>
      <c r="DF422" t="s">
        <v>28</v>
      </c>
      <c r="DG422" t="s">
        <v>28</v>
      </c>
      <c r="DH422" t="s">
        <v>3</v>
      </c>
      <c r="DI422" t="s">
        <v>28</v>
      </c>
      <c r="DJ422" t="s">
        <v>28</v>
      </c>
      <c r="DK422" t="s">
        <v>3</v>
      </c>
      <c r="DL422" t="s">
        <v>3</v>
      </c>
      <c r="DM422" t="s">
        <v>3</v>
      </c>
      <c r="DN422">
        <v>0</v>
      </c>
      <c r="DO422">
        <v>0</v>
      </c>
      <c r="DP422">
        <v>1</v>
      </c>
      <c r="DQ422">
        <v>1</v>
      </c>
      <c r="DU422">
        <v>16987630</v>
      </c>
      <c r="DV422" t="s">
        <v>18</v>
      </c>
      <c r="DW422" t="s">
        <v>18</v>
      </c>
      <c r="DX422">
        <v>1</v>
      </c>
      <c r="DZ422" t="s">
        <v>3</v>
      </c>
      <c r="EA422" t="s">
        <v>3</v>
      </c>
      <c r="EB422" t="s">
        <v>3</v>
      </c>
      <c r="EC422" t="s">
        <v>3</v>
      </c>
      <c r="EE422">
        <v>1441815344</v>
      </c>
      <c r="EF422">
        <v>1</v>
      </c>
      <c r="EG422" t="s">
        <v>21</v>
      </c>
      <c r="EH422">
        <v>0</v>
      </c>
      <c r="EI422" t="s">
        <v>3</v>
      </c>
      <c r="EJ422">
        <v>4</v>
      </c>
      <c r="EK422">
        <v>0</v>
      </c>
      <c r="EL422" t="s">
        <v>22</v>
      </c>
      <c r="EM422" t="s">
        <v>23</v>
      </c>
      <c r="EO422" t="s">
        <v>3</v>
      </c>
      <c r="EQ422">
        <v>1311744</v>
      </c>
      <c r="ER422">
        <v>207.17</v>
      </c>
      <c r="ES422">
        <v>0</v>
      </c>
      <c r="ET422">
        <v>0</v>
      </c>
      <c r="EU422">
        <v>0</v>
      </c>
      <c r="EV422">
        <v>207.17</v>
      </c>
      <c r="EW422">
        <v>0.4</v>
      </c>
      <c r="EX422">
        <v>0</v>
      </c>
      <c r="EY422">
        <v>0</v>
      </c>
      <c r="FQ422">
        <v>0</v>
      </c>
      <c r="FR422">
        <f t="shared" si="222"/>
        <v>0</v>
      </c>
      <c r="FS422">
        <v>0</v>
      </c>
      <c r="FX422">
        <v>70</v>
      </c>
      <c r="FY422">
        <v>10</v>
      </c>
      <c r="GA422" t="s">
        <v>3</v>
      </c>
      <c r="GD422">
        <v>0</v>
      </c>
      <c r="GF422">
        <v>-1777342782</v>
      </c>
      <c r="GG422">
        <v>2</v>
      </c>
      <c r="GH422">
        <v>1</v>
      </c>
      <c r="GI422">
        <v>-2</v>
      </c>
      <c r="GJ422">
        <v>0</v>
      </c>
      <c r="GK422">
        <f>ROUND(R422*(R12)/100,2)</f>
        <v>0</v>
      </c>
      <c r="GL422">
        <f t="shared" si="223"/>
        <v>0</v>
      </c>
      <c r="GM422">
        <f t="shared" si="224"/>
        <v>23865.99</v>
      </c>
      <c r="GN422">
        <f t="shared" si="225"/>
        <v>0</v>
      </c>
      <c r="GO422">
        <f t="shared" si="226"/>
        <v>0</v>
      </c>
      <c r="GP422">
        <f t="shared" si="227"/>
        <v>23865.99</v>
      </c>
      <c r="GR422">
        <v>0</v>
      </c>
      <c r="GS422">
        <v>3</v>
      </c>
      <c r="GT422">
        <v>0</v>
      </c>
      <c r="GU422" t="s">
        <v>3</v>
      </c>
      <c r="GV422">
        <f t="shared" si="228"/>
        <v>0</v>
      </c>
      <c r="GW422">
        <v>1</v>
      </c>
      <c r="GX422">
        <f t="shared" si="229"/>
        <v>0</v>
      </c>
      <c r="HA422">
        <v>0</v>
      </c>
      <c r="HB422">
        <v>0</v>
      </c>
      <c r="HC422">
        <f t="shared" si="230"/>
        <v>0</v>
      </c>
      <c r="HE422" t="s">
        <v>3</v>
      </c>
      <c r="HF422" t="s">
        <v>3</v>
      </c>
      <c r="HM422" t="s">
        <v>3</v>
      </c>
      <c r="HN422" t="s">
        <v>3</v>
      </c>
      <c r="HO422" t="s">
        <v>3</v>
      </c>
      <c r="HP422" t="s">
        <v>3</v>
      </c>
      <c r="HQ422" t="s">
        <v>3</v>
      </c>
      <c r="IK422">
        <v>0</v>
      </c>
    </row>
    <row r="423" spans="1:245" x14ac:dyDescent="0.2">
      <c r="A423">
        <v>17</v>
      </c>
      <c r="B423">
        <v>1</v>
      </c>
      <c r="C423">
        <f>ROW(SmtRes!A38)</f>
        <v>38</v>
      </c>
      <c r="D423">
        <f>ROW(EtalonRes!A101)</f>
        <v>101</v>
      </c>
      <c r="E423" t="s">
        <v>197</v>
      </c>
      <c r="F423" t="s">
        <v>198</v>
      </c>
      <c r="G423" t="s">
        <v>199</v>
      </c>
      <c r="H423" t="s">
        <v>18</v>
      </c>
      <c r="I423">
        <v>2</v>
      </c>
      <c r="J423">
        <v>0</v>
      </c>
      <c r="K423">
        <v>2</v>
      </c>
      <c r="O423">
        <f t="shared" si="196"/>
        <v>375.52</v>
      </c>
      <c r="P423">
        <f t="shared" si="197"/>
        <v>0.94</v>
      </c>
      <c r="Q423">
        <f t="shared" si="198"/>
        <v>78.180000000000007</v>
      </c>
      <c r="R423">
        <f t="shared" si="199"/>
        <v>49.58</v>
      </c>
      <c r="S423">
        <f t="shared" si="200"/>
        <v>296.39999999999998</v>
      </c>
      <c r="T423">
        <f t="shared" si="201"/>
        <v>0</v>
      </c>
      <c r="U423">
        <f t="shared" si="202"/>
        <v>0.48</v>
      </c>
      <c r="V423">
        <f t="shared" si="203"/>
        <v>0</v>
      </c>
      <c r="W423">
        <f t="shared" si="204"/>
        <v>0</v>
      </c>
      <c r="X423">
        <f t="shared" si="205"/>
        <v>207.48</v>
      </c>
      <c r="Y423">
        <f t="shared" si="206"/>
        <v>29.64</v>
      </c>
      <c r="AA423">
        <v>1473080740</v>
      </c>
      <c r="AB423">
        <f t="shared" si="207"/>
        <v>187.76</v>
      </c>
      <c r="AC423">
        <f>ROUND((ES423),6)</f>
        <v>0.47</v>
      </c>
      <c r="AD423">
        <f>ROUND((((ET423)-(EU423))+AE423),6)</f>
        <v>39.090000000000003</v>
      </c>
      <c r="AE423">
        <f>ROUND((EU423),6)</f>
        <v>24.79</v>
      </c>
      <c r="AF423">
        <f>ROUND((EV423),6)</f>
        <v>148.19999999999999</v>
      </c>
      <c r="AG423">
        <f t="shared" si="209"/>
        <v>0</v>
      </c>
      <c r="AH423">
        <f>(EW423)</f>
        <v>0.24</v>
      </c>
      <c r="AI423">
        <f>(EX423)</f>
        <v>0</v>
      </c>
      <c r="AJ423">
        <f t="shared" si="211"/>
        <v>0</v>
      </c>
      <c r="AK423">
        <v>187.76</v>
      </c>
      <c r="AL423">
        <v>0.47</v>
      </c>
      <c r="AM423">
        <v>39.090000000000003</v>
      </c>
      <c r="AN423">
        <v>24.79</v>
      </c>
      <c r="AO423">
        <v>148.19999999999999</v>
      </c>
      <c r="AP423">
        <v>0</v>
      </c>
      <c r="AQ423">
        <v>0.24</v>
      </c>
      <c r="AR423">
        <v>0</v>
      </c>
      <c r="AS423">
        <v>0</v>
      </c>
      <c r="AT423">
        <v>70</v>
      </c>
      <c r="AU423">
        <v>10</v>
      </c>
      <c r="AV423">
        <v>1</v>
      </c>
      <c r="AW423">
        <v>1</v>
      </c>
      <c r="AZ423">
        <v>1</v>
      </c>
      <c r="BA423">
        <v>1</v>
      </c>
      <c r="BB423">
        <v>1</v>
      </c>
      <c r="BC423">
        <v>1</v>
      </c>
      <c r="BD423" t="s">
        <v>3</v>
      </c>
      <c r="BE423" t="s">
        <v>3</v>
      </c>
      <c r="BF423" t="s">
        <v>3</v>
      </c>
      <c r="BG423" t="s">
        <v>3</v>
      </c>
      <c r="BH423">
        <v>0</v>
      </c>
      <c r="BI423">
        <v>4</v>
      </c>
      <c r="BJ423" t="s">
        <v>200</v>
      </c>
      <c r="BM423">
        <v>0</v>
      </c>
      <c r="BN423">
        <v>0</v>
      </c>
      <c r="BO423" t="s">
        <v>3</v>
      </c>
      <c r="BP423">
        <v>0</v>
      </c>
      <c r="BQ423">
        <v>1</v>
      </c>
      <c r="BR423">
        <v>0</v>
      </c>
      <c r="BS423">
        <v>1</v>
      </c>
      <c r="BT423">
        <v>1</v>
      </c>
      <c r="BU423">
        <v>1</v>
      </c>
      <c r="BV423">
        <v>1</v>
      </c>
      <c r="BW423">
        <v>1</v>
      </c>
      <c r="BX423">
        <v>1</v>
      </c>
      <c r="BY423" t="s">
        <v>3</v>
      </c>
      <c r="BZ423">
        <v>70</v>
      </c>
      <c r="CA423">
        <v>10</v>
      </c>
      <c r="CB423" t="s">
        <v>3</v>
      </c>
      <c r="CE423">
        <v>0</v>
      </c>
      <c r="CF423">
        <v>0</v>
      </c>
      <c r="CG423">
        <v>0</v>
      </c>
      <c r="CM423">
        <v>0</v>
      </c>
      <c r="CN423" t="s">
        <v>3</v>
      </c>
      <c r="CO423">
        <v>0</v>
      </c>
      <c r="CP423">
        <f t="shared" si="212"/>
        <v>375.52</v>
      </c>
      <c r="CQ423">
        <f t="shared" si="213"/>
        <v>0.47</v>
      </c>
      <c r="CR423">
        <f>((((ET423)*BB423-(EU423)*BS423)+AE423*BS423)*AV423)</f>
        <v>39.090000000000003</v>
      </c>
      <c r="CS423">
        <f t="shared" si="214"/>
        <v>24.79</v>
      </c>
      <c r="CT423">
        <f t="shared" si="215"/>
        <v>148.19999999999999</v>
      </c>
      <c r="CU423">
        <f t="shared" si="216"/>
        <v>0</v>
      </c>
      <c r="CV423">
        <f t="shared" si="217"/>
        <v>0.24</v>
      </c>
      <c r="CW423">
        <f t="shared" si="218"/>
        <v>0</v>
      </c>
      <c r="CX423">
        <f t="shared" si="219"/>
        <v>0</v>
      </c>
      <c r="CY423">
        <f t="shared" si="220"/>
        <v>207.48</v>
      </c>
      <c r="CZ423">
        <f t="shared" si="221"/>
        <v>29.64</v>
      </c>
      <c r="DC423" t="s">
        <v>3</v>
      </c>
      <c r="DD423" t="s">
        <v>3</v>
      </c>
      <c r="DE423" t="s">
        <v>3</v>
      </c>
      <c r="DF423" t="s">
        <v>3</v>
      </c>
      <c r="DG423" t="s">
        <v>3</v>
      </c>
      <c r="DH423" t="s">
        <v>3</v>
      </c>
      <c r="DI423" t="s">
        <v>3</v>
      </c>
      <c r="DJ423" t="s">
        <v>3</v>
      </c>
      <c r="DK423" t="s">
        <v>3</v>
      </c>
      <c r="DL423" t="s">
        <v>3</v>
      </c>
      <c r="DM423" t="s">
        <v>3</v>
      </c>
      <c r="DN423">
        <v>0</v>
      </c>
      <c r="DO423">
        <v>0</v>
      </c>
      <c r="DP423">
        <v>1</v>
      </c>
      <c r="DQ423">
        <v>1</v>
      </c>
      <c r="DU423">
        <v>16987630</v>
      </c>
      <c r="DV423" t="s">
        <v>18</v>
      </c>
      <c r="DW423" t="s">
        <v>18</v>
      </c>
      <c r="DX423">
        <v>1</v>
      </c>
      <c r="DZ423" t="s">
        <v>3</v>
      </c>
      <c r="EA423" t="s">
        <v>3</v>
      </c>
      <c r="EB423" t="s">
        <v>3</v>
      </c>
      <c r="EC423" t="s">
        <v>3</v>
      </c>
      <c r="EE423">
        <v>1441815344</v>
      </c>
      <c r="EF423">
        <v>1</v>
      </c>
      <c r="EG423" t="s">
        <v>21</v>
      </c>
      <c r="EH423">
        <v>0</v>
      </c>
      <c r="EI423" t="s">
        <v>3</v>
      </c>
      <c r="EJ423">
        <v>4</v>
      </c>
      <c r="EK423">
        <v>0</v>
      </c>
      <c r="EL423" t="s">
        <v>22</v>
      </c>
      <c r="EM423" t="s">
        <v>23</v>
      </c>
      <c r="EO423" t="s">
        <v>3</v>
      </c>
      <c r="EQ423">
        <v>0</v>
      </c>
      <c r="ER423">
        <v>187.76</v>
      </c>
      <c r="ES423">
        <v>0.47</v>
      </c>
      <c r="ET423">
        <v>39.090000000000003</v>
      </c>
      <c r="EU423">
        <v>24.79</v>
      </c>
      <c r="EV423">
        <v>148.19999999999999</v>
      </c>
      <c r="EW423">
        <v>0.24</v>
      </c>
      <c r="EX423">
        <v>0</v>
      </c>
      <c r="EY423">
        <v>0</v>
      </c>
      <c r="FQ423">
        <v>0</v>
      </c>
      <c r="FR423">
        <f t="shared" si="222"/>
        <v>0</v>
      </c>
      <c r="FS423">
        <v>0</v>
      </c>
      <c r="FX423">
        <v>70</v>
      </c>
      <c r="FY423">
        <v>10</v>
      </c>
      <c r="GA423" t="s">
        <v>3</v>
      </c>
      <c r="GD423">
        <v>0</v>
      </c>
      <c r="GF423">
        <v>-1616566322</v>
      </c>
      <c r="GG423">
        <v>2</v>
      </c>
      <c r="GH423">
        <v>1</v>
      </c>
      <c r="GI423">
        <v>-2</v>
      </c>
      <c r="GJ423">
        <v>0</v>
      </c>
      <c r="GK423">
        <f>ROUND(R423*(R12)/100,2)</f>
        <v>53.55</v>
      </c>
      <c r="GL423">
        <f t="shared" si="223"/>
        <v>0</v>
      </c>
      <c r="GM423">
        <f t="shared" si="224"/>
        <v>666.19</v>
      </c>
      <c r="GN423">
        <f t="shared" si="225"/>
        <v>0</v>
      </c>
      <c r="GO423">
        <f t="shared" si="226"/>
        <v>0</v>
      </c>
      <c r="GP423">
        <f t="shared" si="227"/>
        <v>666.19</v>
      </c>
      <c r="GR423">
        <v>0</v>
      </c>
      <c r="GS423">
        <v>3</v>
      </c>
      <c r="GT423">
        <v>0</v>
      </c>
      <c r="GU423" t="s">
        <v>3</v>
      </c>
      <c r="GV423">
        <f t="shared" si="228"/>
        <v>0</v>
      </c>
      <c r="GW423">
        <v>1</v>
      </c>
      <c r="GX423">
        <f t="shared" si="229"/>
        <v>0</v>
      </c>
      <c r="HA423">
        <v>0</v>
      </c>
      <c r="HB423">
        <v>0</v>
      </c>
      <c r="HC423">
        <f t="shared" si="230"/>
        <v>0</v>
      </c>
      <c r="HE423" t="s">
        <v>3</v>
      </c>
      <c r="HF423" t="s">
        <v>3</v>
      </c>
      <c r="HM423" t="s">
        <v>3</v>
      </c>
      <c r="HN423" t="s">
        <v>3</v>
      </c>
      <c r="HO423" t="s">
        <v>3</v>
      </c>
      <c r="HP423" t="s">
        <v>3</v>
      </c>
      <c r="HQ423" t="s">
        <v>3</v>
      </c>
      <c r="IK423">
        <v>0</v>
      </c>
    </row>
    <row r="424" spans="1:245" x14ac:dyDescent="0.2">
      <c r="A424">
        <v>17</v>
      </c>
      <c r="B424">
        <v>1</v>
      </c>
      <c r="C424">
        <f>ROW(SmtRes!A39)</f>
        <v>39</v>
      </c>
      <c r="D424">
        <f>ROW(EtalonRes!A102)</f>
        <v>102</v>
      </c>
      <c r="E424" t="s">
        <v>3</v>
      </c>
      <c r="F424" t="s">
        <v>201</v>
      </c>
      <c r="G424" t="s">
        <v>202</v>
      </c>
      <c r="H424" t="s">
        <v>18</v>
      </c>
      <c r="I424">
        <v>2</v>
      </c>
      <c r="J424">
        <v>0</v>
      </c>
      <c r="K424">
        <v>2</v>
      </c>
      <c r="O424">
        <f t="shared" si="196"/>
        <v>5486.22</v>
      </c>
      <c r="P424">
        <f t="shared" si="197"/>
        <v>0</v>
      </c>
      <c r="Q424">
        <f t="shared" si="198"/>
        <v>0</v>
      </c>
      <c r="R424">
        <f t="shared" si="199"/>
        <v>0</v>
      </c>
      <c r="S424">
        <f t="shared" si="200"/>
        <v>5486.22</v>
      </c>
      <c r="T424">
        <f t="shared" si="201"/>
        <v>0</v>
      </c>
      <c r="U424">
        <f t="shared" si="202"/>
        <v>10.08</v>
      </c>
      <c r="V424">
        <f t="shared" si="203"/>
        <v>0</v>
      </c>
      <c r="W424">
        <f t="shared" si="204"/>
        <v>0</v>
      </c>
      <c r="X424">
        <f t="shared" si="205"/>
        <v>3840.35</v>
      </c>
      <c r="Y424">
        <f t="shared" si="206"/>
        <v>548.62</v>
      </c>
      <c r="AA424">
        <v>-1</v>
      </c>
      <c r="AB424">
        <f t="shared" si="207"/>
        <v>2743.11</v>
      </c>
      <c r="AC424">
        <f>ROUND(((ES424*3)),6)</f>
        <v>0</v>
      </c>
      <c r="AD424">
        <f>ROUND(((((ET424*3))-((EU424*3)))+AE424),6)</f>
        <v>0</v>
      </c>
      <c r="AE424">
        <f>ROUND(((EU424*3)),6)</f>
        <v>0</v>
      </c>
      <c r="AF424">
        <f>ROUND(((EV424*3)),6)</f>
        <v>2743.11</v>
      </c>
      <c r="AG424">
        <f t="shared" si="209"/>
        <v>0</v>
      </c>
      <c r="AH424">
        <f>((EW424*3))</f>
        <v>5.04</v>
      </c>
      <c r="AI424">
        <f>((EX424*3))</f>
        <v>0</v>
      </c>
      <c r="AJ424">
        <f t="shared" si="211"/>
        <v>0</v>
      </c>
      <c r="AK424">
        <v>914.37</v>
      </c>
      <c r="AL424">
        <v>0</v>
      </c>
      <c r="AM424">
        <v>0</v>
      </c>
      <c r="AN424">
        <v>0</v>
      </c>
      <c r="AO424">
        <v>914.37</v>
      </c>
      <c r="AP424">
        <v>0</v>
      </c>
      <c r="AQ424">
        <v>1.68</v>
      </c>
      <c r="AR424">
        <v>0</v>
      </c>
      <c r="AS424">
        <v>0</v>
      </c>
      <c r="AT424">
        <v>70</v>
      </c>
      <c r="AU424">
        <v>10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3</v>
      </c>
      <c r="BE424" t="s">
        <v>3</v>
      </c>
      <c r="BF424" t="s">
        <v>3</v>
      </c>
      <c r="BG424" t="s">
        <v>3</v>
      </c>
      <c r="BH424">
        <v>0</v>
      </c>
      <c r="BI424">
        <v>4</v>
      </c>
      <c r="BJ424" t="s">
        <v>203</v>
      </c>
      <c r="BM424">
        <v>0</v>
      </c>
      <c r="BN424">
        <v>0</v>
      </c>
      <c r="BO424" t="s">
        <v>3</v>
      </c>
      <c r="BP424">
        <v>0</v>
      </c>
      <c r="BQ424">
        <v>1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3</v>
      </c>
      <c r="BZ424">
        <v>70</v>
      </c>
      <c r="CA424">
        <v>10</v>
      </c>
      <c r="CB424" t="s">
        <v>3</v>
      </c>
      <c r="CE424">
        <v>0</v>
      </c>
      <c r="CF424">
        <v>0</v>
      </c>
      <c r="CG424">
        <v>0</v>
      </c>
      <c r="CM424">
        <v>0</v>
      </c>
      <c r="CN424" t="s">
        <v>3</v>
      </c>
      <c r="CO424">
        <v>0</v>
      </c>
      <c r="CP424">
        <f t="shared" si="212"/>
        <v>5486.22</v>
      </c>
      <c r="CQ424">
        <f t="shared" si="213"/>
        <v>0</v>
      </c>
      <c r="CR424">
        <f>(((((ET424*3))*BB424-((EU424*3))*BS424)+AE424*BS424)*AV424)</f>
        <v>0</v>
      </c>
      <c r="CS424">
        <f t="shared" si="214"/>
        <v>0</v>
      </c>
      <c r="CT424">
        <f t="shared" si="215"/>
        <v>2743.11</v>
      </c>
      <c r="CU424">
        <f t="shared" si="216"/>
        <v>0</v>
      </c>
      <c r="CV424">
        <f t="shared" si="217"/>
        <v>5.04</v>
      </c>
      <c r="CW424">
        <f t="shared" si="218"/>
        <v>0</v>
      </c>
      <c r="CX424">
        <f t="shared" si="219"/>
        <v>0</v>
      </c>
      <c r="CY424">
        <f t="shared" si="220"/>
        <v>3840.3540000000003</v>
      </c>
      <c r="CZ424">
        <f t="shared" si="221"/>
        <v>548.62200000000007</v>
      </c>
      <c r="DC424" t="s">
        <v>3</v>
      </c>
      <c r="DD424" t="s">
        <v>163</v>
      </c>
      <c r="DE424" t="s">
        <v>163</v>
      </c>
      <c r="DF424" t="s">
        <v>163</v>
      </c>
      <c r="DG424" t="s">
        <v>163</v>
      </c>
      <c r="DH424" t="s">
        <v>3</v>
      </c>
      <c r="DI424" t="s">
        <v>163</v>
      </c>
      <c r="DJ424" t="s">
        <v>163</v>
      </c>
      <c r="DK424" t="s">
        <v>3</v>
      </c>
      <c r="DL424" t="s">
        <v>3</v>
      </c>
      <c r="DM424" t="s">
        <v>3</v>
      </c>
      <c r="DN424">
        <v>0</v>
      </c>
      <c r="DO424">
        <v>0</v>
      </c>
      <c r="DP424">
        <v>1</v>
      </c>
      <c r="DQ424">
        <v>1</v>
      </c>
      <c r="DU424">
        <v>16987630</v>
      </c>
      <c r="DV424" t="s">
        <v>18</v>
      </c>
      <c r="DW424" t="s">
        <v>18</v>
      </c>
      <c r="DX424">
        <v>1</v>
      </c>
      <c r="DZ424" t="s">
        <v>3</v>
      </c>
      <c r="EA424" t="s">
        <v>3</v>
      </c>
      <c r="EB424" t="s">
        <v>3</v>
      </c>
      <c r="EC424" t="s">
        <v>3</v>
      </c>
      <c r="EE424">
        <v>1441815344</v>
      </c>
      <c r="EF424">
        <v>1</v>
      </c>
      <c r="EG424" t="s">
        <v>21</v>
      </c>
      <c r="EH424">
        <v>0</v>
      </c>
      <c r="EI424" t="s">
        <v>3</v>
      </c>
      <c r="EJ424">
        <v>4</v>
      </c>
      <c r="EK424">
        <v>0</v>
      </c>
      <c r="EL424" t="s">
        <v>22</v>
      </c>
      <c r="EM424" t="s">
        <v>23</v>
      </c>
      <c r="EO424" t="s">
        <v>3</v>
      </c>
      <c r="EQ424">
        <v>1024</v>
      </c>
      <c r="ER424">
        <v>914.37</v>
      </c>
      <c r="ES424">
        <v>0</v>
      </c>
      <c r="ET424">
        <v>0</v>
      </c>
      <c r="EU424">
        <v>0</v>
      </c>
      <c r="EV424">
        <v>914.37</v>
      </c>
      <c r="EW424">
        <v>1.68</v>
      </c>
      <c r="EX424">
        <v>0</v>
      </c>
      <c r="EY424">
        <v>0</v>
      </c>
      <c r="FQ424">
        <v>0</v>
      </c>
      <c r="FR424">
        <f t="shared" si="222"/>
        <v>0</v>
      </c>
      <c r="FS424">
        <v>0</v>
      </c>
      <c r="FX424">
        <v>70</v>
      </c>
      <c r="FY424">
        <v>10</v>
      </c>
      <c r="GA424" t="s">
        <v>3</v>
      </c>
      <c r="GD424">
        <v>0</v>
      </c>
      <c r="GF424">
        <v>-506363456</v>
      </c>
      <c r="GG424">
        <v>2</v>
      </c>
      <c r="GH424">
        <v>1</v>
      </c>
      <c r="GI424">
        <v>-2</v>
      </c>
      <c r="GJ424">
        <v>0</v>
      </c>
      <c r="GK424">
        <f>ROUND(R424*(R12)/100,2)</f>
        <v>0</v>
      </c>
      <c r="GL424">
        <f t="shared" si="223"/>
        <v>0</v>
      </c>
      <c r="GM424">
        <f t="shared" si="224"/>
        <v>9875.19</v>
      </c>
      <c r="GN424">
        <f t="shared" si="225"/>
        <v>0</v>
      </c>
      <c r="GO424">
        <f t="shared" si="226"/>
        <v>0</v>
      </c>
      <c r="GP424">
        <f t="shared" si="227"/>
        <v>9875.19</v>
      </c>
      <c r="GR424">
        <v>0</v>
      </c>
      <c r="GS424">
        <v>3</v>
      </c>
      <c r="GT424">
        <v>0</v>
      </c>
      <c r="GU424" t="s">
        <v>3</v>
      </c>
      <c r="GV424">
        <f t="shared" si="228"/>
        <v>0</v>
      </c>
      <c r="GW424">
        <v>1</v>
      </c>
      <c r="GX424">
        <f t="shared" si="229"/>
        <v>0</v>
      </c>
      <c r="HA424">
        <v>0</v>
      </c>
      <c r="HB424">
        <v>0</v>
      </c>
      <c r="HC424">
        <f t="shared" si="230"/>
        <v>0</v>
      </c>
      <c r="HE424" t="s">
        <v>3</v>
      </c>
      <c r="HF424" t="s">
        <v>3</v>
      </c>
      <c r="HM424" t="s">
        <v>3</v>
      </c>
      <c r="HN424" t="s">
        <v>3</v>
      </c>
      <c r="HO424" t="s">
        <v>3</v>
      </c>
      <c r="HP424" t="s">
        <v>3</v>
      </c>
      <c r="HQ424" t="s">
        <v>3</v>
      </c>
      <c r="IK424">
        <v>0</v>
      </c>
    </row>
    <row r="426" spans="1:245" x14ac:dyDescent="0.2">
      <c r="A426" s="2">
        <v>51</v>
      </c>
      <c r="B426" s="2">
        <f>B408</f>
        <v>1</v>
      </c>
      <c r="C426" s="2">
        <f>A408</f>
        <v>5</v>
      </c>
      <c r="D426" s="2">
        <f>ROW(A408)</f>
        <v>408</v>
      </c>
      <c r="E426" s="2"/>
      <c r="F426" s="2" t="str">
        <f>IF(F408&lt;&gt;"",F408,"")</f>
        <v>Новый подраздел</v>
      </c>
      <c r="G426" s="2" t="str">
        <f>IF(G408&lt;&gt;"",G408,"")</f>
        <v>Вентиляция</v>
      </c>
      <c r="H426" s="2">
        <v>0</v>
      </c>
      <c r="I426" s="2"/>
      <c r="J426" s="2"/>
      <c r="K426" s="2"/>
      <c r="L426" s="2"/>
      <c r="M426" s="2"/>
      <c r="N426" s="2"/>
      <c r="O426" s="2">
        <f t="shared" ref="O426:T426" si="231">ROUND(AB426,2)</f>
        <v>27065.16</v>
      </c>
      <c r="P426" s="2">
        <f t="shared" si="231"/>
        <v>1.36</v>
      </c>
      <c r="Q426" s="2">
        <f t="shared" si="231"/>
        <v>1329.06</v>
      </c>
      <c r="R426" s="2">
        <f t="shared" si="231"/>
        <v>842.7</v>
      </c>
      <c r="S426" s="2">
        <f t="shared" si="231"/>
        <v>25734.74</v>
      </c>
      <c r="T426" s="2">
        <f t="shared" si="231"/>
        <v>0</v>
      </c>
      <c r="U426" s="2">
        <f>AH426</f>
        <v>39.719999999999992</v>
      </c>
      <c r="V426" s="2">
        <f>AI426</f>
        <v>0</v>
      </c>
      <c r="W426" s="2">
        <f>ROUND(AJ426,2)</f>
        <v>0</v>
      </c>
      <c r="X426" s="2">
        <f>ROUND(AK426,2)</f>
        <v>18014.32</v>
      </c>
      <c r="Y426" s="2">
        <f>ROUND(AL426,2)</f>
        <v>2573.4699999999998</v>
      </c>
      <c r="Z426" s="2"/>
      <c r="AA426" s="2"/>
      <c r="AB426" s="2">
        <f>ROUND(SUMIF(AA412:AA424,"=1473080740",O412:O424),2)</f>
        <v>27065.16</v>
      </c>
      <c r="AC426" s="2">
        <f>ROUND(SUMIF(AA412:AA424,"=1473080740",P412:P424),2)</f>
        <v>1.36</v>
      </c>
      <c r="AD426" s="2">
        <f>ROUND(SUMIF(AA412:AA424,"=1473080740",Q412:Q424),2)</f>
        <v>1329.06</v>
      </c>
      <c r="AE426" s="2">
        <f>ROUND(SUMIF(AA412:AA424,"=1473080740",R412:R424),2)</f>
        <v>842.7</v>
      </c>
      <c r="AF426" s="2">
        <f>ROUND(SUMIF(AA412:AA424,"=1473080740",S412:S424),2)</f>
        <v>25734.74</v>
      </c>
      <c r="AG426" s="2">
        <f>ROUND(SUMIF(AA412:AA424,"=1473080740",T412:T424),2)</f>
        <v>0</v>
      </c>
      <c r="AH426" s="2">
        <f>SUMIF(AA412:AA424,"=1473080740",U412:U424)</f>
        <v>39.719999999999992</v>
      </c>
      <c r="AI426" s="2">
        <f>SUMIF(AA412:AA424,"=1473080740",V412:V424)</f>
        <v>0</v>
      </c>
      <c r="AJ426" s="2">
        <f>ROUND(SUMIF(AA412:AA424,"=1473080740",W412:W424),2)</f>
        <v>0</v>
      </c>
      <c r="AK426" s="2">
        <f>ROUND(SUMIF(AA412:AA424,"=1473080740",X412:X424),2)</f>
        <v>18014.32</v>
      </c>
      <c r="AL426" s="2">
        <f>ROUND(SUMIF(AA412:AA424,"=1473080740",Y412:Y424),2)</f>
        <v>2573.4699999999998</v>
      </c>
      <c r="AM426" s="2"/>
      <c r="AN426" s="2"/>
      <c r="AO426" s="2">
        <f t="shared" ref="AO426:BD426" si="232">ROUND(BX426,2)</f>
        <v>0</v>
      </c>
      <c r="AP426" s="2">
        <f t="shared" si="232"/>
        <v>0</v>
      </c>
      <c r="AQ426" s="2">
        <f t="shared" si="232"/>
        <v>0</v>
      </c>
      <c r="AR426" s="2">
        <f t="shared" si="232"/>
        <v>48563.07</v>
      </c>
      <c r="AS426" s="2">
        <f t="shared" si="232"/>
        <v>0</v>
      </c>
      <c r="AT426" s="2">
        <f t="shared" si="232"/>
        <v>0</v>
      </c>
      <c r="AU426" s="2">
        <f t="shared" si="232"/>
        <v>48563.07</v>
      </c>
      <c r="AV426" s="2">
        <f t="shared" si="232"/>
        <v>1.36</v>
      </c>
      <c r="AW426" s="2">
        <f t="shared" si="232"/>
        <v>1.36</v>
      </c>
      <c r="AX426" s="2">
        <f t="shared" si="232"/>
        <v>0</v>
      </c>
      <c r="AY426" s="2">
        <f t="shared" si="232"/>
        <v>1.36</v>
      </c>
      <c r="AZ426" s="2">
        <f t="shared" si="232"/>
        <v>0</v>
      </c>
      <c r="BA426" s="2">
        <f t="shared" si="232"/>
        <v>0</v>
      </c>
      <c r="BB426" s="2">
        <f t="shared" si="232"/>
        <v>0</v>
      </c>
      <c r="BC426" s="2">
        <f t="shared" si="232"/>
        <v>0</v>
      </c>
      <c r="BD426" s="2">
        <f t="shared" si="232"/>
        <v>0</v>
      </c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>
        <f>ROUND(SUMIF(AA412:AA424,"=1473080740",FQ412:FQ424),2)</f>
        <v>0</v>
      </c>
      <c r="BY426" s="2">
        <f>ROUND(SUMIF(AA412:AA424,"=1473080740",FR412:FR424),2)</f>
        <v>0</v>
      </c>
      <c r="BZ426" s="2">
        <f>ROUND(SUMIF(AA412:AA424,"=1473080740",GL412:GL424),2)</f>
        <v>0</v>
      </c>
      <c r="CA426" s="2">
        <f>ROUND(SUMIF(AA412:AA424,"=1473080740",GM412:GM424),2)</f>
        <v>48563.07</v>
      </c>
      <c r="CB426" s="2">
        <f>ROUND(SUMIF(AA412:AA424,"=1473080740",GN412:GN424),2)</f>
        <v>0</v>
      </c>
      <c r="CC426" s="2">
        <f>ROUND(SUMIF(AA412:AA424,"=1473080740",GO412:GO424),2)</f>
        <v>0</v>
      </c>
      <c r="CD426" s="2">
        <f>ROUND(SUMIF(AA412:AA424,"=1473080740",GP412:GP424),2)</f>
        <v>48563.07</v>
      </c>
      <c r="CE426" s="2">
        <f>AC426-BX426</f>
        <v>1.36</v>
      </c>
      <c r="CF426" s="2">
        <f>AC426-BY426</f>
        <v>1.36</v>
      </c>
      <c r="CG426" s="2">
        <f>BX426-BZ426</f>
        <v>0</v>
      </c>
      <c r="CH426" s="2">
        <f>AC426-BX426-BY426+BZ426</f>
        <v>1.36</v>
      </c>
      <c r="CI426" s="2">
        <f>BY426-BZ426</f>
        <v>0</v>
      </c>
      <c r="CJ426" s="2">
        <f>ROUND(SUMIF(AA412:AA424,"=1473080740",GX412:GX424),2)</f>
        <v>0</v>
      </c>
      <c r="CK426" s="2">
        <f>ROUND(SUMIF(AA412:AA424,"=1473080740",GY412:GY424),2)</f>
        <v>0</v>
      </c>
      <c r="CL426" s="2">
        <f>ROUND(SUMIF(AA412:AA424,"=1473080740",GZ412:GZ424),2)</f>
        <v>0</v>
      </c>
      <c r="CM426" s="2">
        <f>ROUND(SUMIF(AA412:AA424,"=1473080740",HD412:HD424),2)</f>
        <v>0</v>
      </c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3"/>
      <c r="DH426" s="3"/>
      <c r="DI426" s="3"/>
      <c r="DJ426" s="3"/>
      <c r="DK426" s="3"/>
      <c r="DL426" s="3"/>
      <c r="DM426" s="3"/>
      <c r="DN426" s="3"/>
      <c r="DO426" s="3"/>
      <c r="DP426" s="3"/>
      <c r="DQ426" s="3"/>
      <c r="DR426" s="3"/>
      <c r="DS426" s="3"/>
      <c r="DT426" s="3"/>
      <c r="DU426" s="3"/>
      <c r="DV426" s="3"/>
      <c r="DW426" s="3"/>
      <c r="DX426" s="3"/>
      <c r="DY426" s="3"/>
      <c r="DZ426" s="3"/>
      <c r="EA426" s="3"/>
      <c r="EB426" s="3"/>
      <c r="EC426" s="3"/>
      <c r="ED426" s="3"/>
      <c r="EE426" s="3"/>
      <c r="EF426" s="3"/>
      <c r="EG426" s="3"/>
      <c r="EH426" s="3"/>
      <c r="EI426" s="3"/>
      <c r="EJ426" s="3"/>
      <c r="EK426" s="3"/>
      <c r="EL426" s="3"/>
      <c r="EM426" s="3"/>
      <c r="EN426" s="3"/>
      <c r="EO426" s="3"/>
      <c r="EP426" s="3"/>
      <c r="EQ426" s="3"/>
      <c r="ER426" s="3"/>
      <c r="ES426" s="3"/>
      <c r="ET426" s="3"/>
      <c r="EU426" s="3"/>
      <c r="EV426" s="3"/>
      <c r="EW426" s="3"/>
      <c r="EX426" s="3"/>
      <c r="EY426" s="3"/>
      <c r="EZ426" s="3"/>
      <c r="FA426" s="3"/>
      <c r="FB426" s="3"/>
      <c r="FC426" s="3"/>
      <c r="FD426" s="3"/>
      <c r="FE426" s="3"/>
      <c r="FF426" s="3"/>
      <c r="FG426" s="3"/>
      <c r="FH426" s="3"/>
      <c r="FI426" s="3"/>
      <c r="FJ426" s="3"/>
      <c r="FK426" s="3"/>
      <c r="FL426" s="3"/>
      <c r="FM426" s="3"/>
      <c r="FN426" s="3"/>
      <c r="FO426" s="3"/>
      <c r="FP426" s="3"/>
      <c r="FQ426" s="3"/>
      <c r="FR426" s="3"/>
      <c r="FS426" s="3"/>
      <c r="FT426" s="3"/>
      <c r="FU426" s="3"/>
      <c r="FV426" s="3"/>
      <c r="FW426" s="3"/>
      <c r="FX426" s="3"/>
      <c r="FY426" s="3"/>
      <c r="FZ426" s="3"/>
      <c r="GA426" s="3"/>
      <c r="GB426" s="3"/>
      <c r="GC426" s="3"/>
      <c r="GD426" s="3"/>
      <c r="GE426" s="3"/>
      <c r="GF426" s="3"/>
      <c r="GG426" s="3"/>
      <c r="GH426" s="3"/>
      <c r="GI426" s="3"/>
      <c r="GJ426" s="3"/>
      <c r="GK426" s="3"/>
      <c r="GL426" s="3"/>
      <c r="GM426" s="3"/>
      <c r="GN426" s="3"/>
      <c r="GO426" s="3"/>
      <c r="GP426" s="3"/>
      <c r="GQ426" s="3"/>
      <c r="GR426" s="3"/>
      <c r="GS426" s="3"/>
      <c r="GT426" s="3"/>
      <c r="GU426" s="3"/>
      <c r="GV426" s="3"/>
      <c r="GW426" s="3"/>
      <c r="GX426" s="3">
        <v>0</v>
      </c>
    </row>
    <row r="428" spans="1:245" x14ac:dyDescent="0.2">
      <c r="A428" s="4">
        <v>50</v>
      </c>
      <c r="B428" s="4">
        <v>0</v>
      </c>
      <c r="C428" s="4">
        <v>0</v>
      </c>
      <c r="D428" s="4">
        <v>1</v>
      </c>
      <c r="E428" s="4">
        <v>201</v>
      </c>
      <c r="F428" s="4">
        <f>ROUND(Source!O426,O428)</f>
        <v>27065.16</v>
      </c>
      <c r="G428" s="4" t="s">
        <v>43</v>
      </c>
      <c r="H428" s="4" t="s">
        <v>44</v>
      </c>
      <c r="I428" s="4"/>
      <c r="J428" s="4"/>
      <c r="K428" s="4">
        <v>201</v>
      </c>
      <c r="L428" s="4">
        <v>1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27065.16</v>
      </c>
      <c r="X428" s="4">
        <v>1</v>
      </c>
      <c r="Y428" s="4">
        <v>27065.16</v>
      </c>
      <c r="Z428" s="4"/>
      <c r="AA428" s="4"/>
      <c r="AB428" s="4"/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202</v>
      </c>
      <c r="F429" s="4">
        <f>ROUND(Source!P426,O429)</f>
        <v>1.36</v>
      </c>
      <c r="G429" s="4" t="s">
        <v>45</v>
      </c>
      <c r="H429" s="4" t="s">
        <v>46</v>
      </c>
      <c r="I429" s="4"/>
      <c r="J429" s="4"/>
      <c r="K429" s="4">
        <v>202</v>
      </c>
      <c r="L429" s="4">
        <v>2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1.36</v>
      </c>
      <c r="X429" s="4">
        <v>1</v>
      </c>
      <c r="Y429" s="4">
        <v>1.36</v>
      </c>
      <c r="Z429" s="4"/>
      <c r="AA429" s="4"/>
      <c r="AB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222</v>
      </c>
      <c r="F430" s="4">
        <f>ROUND(Source!AO426,O430)</f>
        <v>0</v>
      </c>
      <c r="G430" s="4" t="s">
        <v>47</v>
      </c>
      <c r="H430" s="4" t="s">
        <v>48</v>
      </c>
      <c r="I430" s="4"/>
      <c r="J430" s="4"/>
      <c r="K430" s="4">
        <v>222</v>
      </c>
      <c r="L430" s="4">
        <v>3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225</v>
      </c>
      <c r="F431" s="4">
        <f>ROUND(Source!AV426,O431)</f>
        <v>1.36</v>
      </c>
      <c r="G431" s="4" t="s">
        <v>49</v>
      </c>
      <c r="H431" s="4" t="s">
        <v>50</v>
      </c>
      <c r="I431" s="4"/>
      <c r="J431" s="4"/>
      <c r="K431" s="4">
        <v>225</v>
      </c>
      <c r="L431" s="4">
        <v>4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1.36</v>
      </c>
      <c r="X431" s="4">
        <v>1</v>
      </c>
      <c r="Y431" s="4">
        <v>1.36</v>
      </c>
      <c r="Z431" s="4"/>
      <c r="AA431" s="4"/>
      <c r="AB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226</v>
      </c>
      <c r="F432" s="4">
        <f>ROUND(Source!AW426,O432)</f>
        <v>1.36</v>
      </c>
      <c r="G432" s="4" t="s">
        <v>51</v>
      </c>
      <c r="H432" s="4" t="s">
        <v>52</v>
      </c>
      <c r="I432" s="4"/>
      <c r="J432" s="4"/>
      <c r="K432" s="4">
        <v>226</v>
      </c>
      <c r="L432" s="4">
        <v>5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1.36</v>
      </c>
      <c r="X432" s="4">
        <v>1</v>
      </c>
      <c r="Y432" s="4">
        <v>1.36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227</v>
      </c>
      <c r="F433" s="4">
        <f>ROUND(Source!AX426,O433)</f>
        <v>0</v>
      </c>
      <c r="G433" s="4" t="s">
        <v>53</v>
      </c>
      <c r="H433" s="4" t="s">
        <v>54</v>
      </c>
      <c r="I433" s="4"/>
      <c r="J433" s="4"/>
      <c r="K433" s="4">
        <v>227</v>
      </c>
      <c r="L433" s="4">
        <v>6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228</v>
      </c>
      <c r="F434" s="4">
        <f>ROUND(Source!AY426,O434)</f>
        <v>1.36</v>
      </c>
      <c r="G434" s="4" t="s">
        <v>55</v>
      </c>
      <c r="H434" s="4" t="s">
        <v>56</v>
      </c>
      <c r="I434" s="4"/>
      <c r="J434" s="4"/>
      <c r="K434" s="4">
        <v>228</v>
      </c>
      <c r="L434" s="4">
        <v>7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1.36</v>
      </c>
      <c r="X434" s="4">
        <v>1</v>
      </c>
      <c r="Y434" s="4">
        <v>1.36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216</v>
      </c>
      <c r="F435" s="4">
        <f>ROUND(Source!AP426,O435)</f>
        <v>0</v>
      </c>
      <c r="G435" s="4" t="s">
        <v>57</v>
      </c>
      <c r="H435" s="4" t="s">
        <v>58</v>
      </c>
      <c r="I435" s="4"/>
      <c r="J435" s="4"/>
      <c r="K435" s="4">
        <v>216</v>
      </c>
      <c r="L435" s="4">
        <v>8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223</v>
      </c>
      <c r="F436" s="4">
        <f>ROUND(Source!AQ426,O436)</f>
        <v>0</v>
      </c>
      <c r="G436" s="4" t="s">
        <v>59</v>
      </c>
      <c r="H436" s="4" t="s">
        <v>60</v>
      </c>
      <c r="I436" s="4"/>
      <c r="J436" s="4"/>
      <c r="K436" s="4">
        <v>223</v>
      </c>
      <c r="L436" s="4">
        <v>9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229</v>
      </c>
      <c r="F437" s="4">
        <f>ROUND(Source!AZ426,O437)</f>
        <v>0</v>
      </c>
      <c r="G437" s="4" t="s">
        <v>61</v>
      </c>
      <c r="H437" s="4" t="s">
        <v>62</v>
      </c>
      <c r="I437" s="4"/>
      <c r="J437" s="4"/>
      <c r="K437" s="4">
        <v>229</v>
      </c>
      <c r="L437" s="4">
        <v>10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203</v>
      </c>
      <c r="F438" s="4">
        <f>ROUND(Source!Q426,O438)</f>
        <v>1329.06</v>
      </c>
      <c r="G438" s="4" t="s">
        <v>63</v>
      </c>
      <c r="H438" s="4" t="s">
        <v>64</v>
      </c>
      <c r="I438" s="4"/>
      <c r="J438" s="4"/>
      <c r="K438" s="4">
        <v>203</v>
      </c>
      <c r="L438" s="4">
        <v>11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1329.06</v>
      </c>
      <c r="X438" s="4">
        <v>1</v>
      </c>
      <c r="Y438" s="4">
        <v>1329.06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231</v>
      </c>
      <c r="F439" s="4">
        <f>ROUND(Source!BB426,O439)</f>
        <v>0</v>
      </c>
      <c r="G439" s="4" t="s">
        <v>65</v>
      </c>
      <c r="H439" s="4" t="s">
        <v>66</v>
      </c>
      <c r="I439" s="4"/>
      <c r="J439" s="4"/>
      <c r="K439" s="4">
        <v>231</v>
      </c>
      <c r="L439" s="4">
        <v>12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204</v>
      </c>
      <c r="F440" s="4">
        <f>ROUND(Source!R426,O440)</f>
        <v>842.7</v>
      </c>
      <c r="G440" s="4" t="s">
        <v>67</v>
      </c>
      <c r="H440" s="4" t="s">
        <v>68</v>
      </c>
      <c r="I440" s="4"/>
      <c r="J440" s="4"/>
      <c r="K440" s="4">
        <v>204</v>
      </c>
      <c r="L440" s="4">
        <v>13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842.7</v>
      </c>
      <c r="X440" s="4">
        <v>1</v>
      </c>
      <c r="Y440" s="4">
        <v>842.7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205</v>
      </c>
      <c r="F441" s="4">
        <f>ROUND(Source!S426,O441)</f>
        <v>25734.74</v>
      </c>
      <c r="G441" s="4" t="s">
        <v>69</v>
      </c>
      <c r="H441" s="4" t="s">
        <v>70</v>
      </c>
      <c r="I441" s="4"/>
      <c r="J441" s="4"/>
      <c r="K441" s="4">
        <v>205</v>
      </c>
      <c r="L441" s="4">
        <v>14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25734.74</v>
      </c>
      <c r="X441" s="4">
        <v>1</v>
      </c>
      <c r="Y441" s="4">
        <v>25734.74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232</v>
      </c>
      <c r="F442" s="4">
        <f>ROUND(Source!BC426,O442)</f>
        <v>0</v>
      </c>
      <c r="G442" s="4" t="s">
        <v>71</v>
      </c>
      <c r="H442" s="4" t="s">
        <v>72</v>
      </c>
      <c r="I442" s="4"/>
      <c r="J442" s="4"/>
      <c r="K442" s="4">
        <v>232</v>
      </c>
      <c r="L442" s="4">
        <v>15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214</v>
      </c>
      <c r="F443" s="4">
        <f>ROUND(Source!AS426,O443)</f>
        <v>0</v>
      </c>
      <c r="G443" s="4" t="s">
        <v>73</v>
      </c>
      <c r="H443" s="4" t="s">
        <v>74</v>
      </c>
      <c r="I443" s="4"/>
      <c r="J443" s="4"/>
      <c r="K443" s="4">
        <v>214</v>
      </c>
      <c r="L443" s="4">
        <v>16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215</v>
      </c>
      <c r="F444" s="4">
        <f>ROUND(Source!AT426,O444)</f>
        <v>0</v>
      </c>
      <c r="G444" s="4" t="s">
        <v>75</v>
      </c>
      <c r="H444" s="4" t="s">
        <v>76</v>
      </c>
      <c r="I444" s="4"/>
      <c r="J444" s="4"/>
      <c r="K444" s="4">
        <v>215</v>
      </c>
      <c r="L444" s="4">
        <v>17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217</v>
      </c>
      <c r="F445" s="4">
        <f>ROUND(Source!AU426,O445)</f>
        <v>48563.07</v>
      </c>
      <c r="G445" s="4" t="s">
        <v>77</v>
      </c>
      <c r="H445" s="4" t="s">
        <v>78</v>
      </c>
      <c r="I445" s="4"/>
      <c r="J445" s="4"/>
      <c r="K445" s="4">
        <v>217</v>
      </c>
      <c r="L445" s="4">
        <v>18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48563.07</v>
      </c>
      <c r="X445" s="4">
        <v>1</v>
      </c>
      <c r="Y445" s="4">
        <v>48563.07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230</v>
      </c>
      <c r="F446" s="4">
        <f>ROUND(Source!BA426,O446)</f>
        <v>0</v>
      </c>
      <c r="G446" s="4" t="s">
        <v>79</v>
      </c>
      <c r="H446" s="4" t="s">
        <v>80</v>
      </c>
      <c r="I446" s="4"/>
      <c r="J446" s="4"/>
      <c r="K446" s="4">
        <v>230</v>
      </c>
      <c r="L446" s="4">
        <v>19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206</v>
      </c>
      <c r="F447" s="4">
        <f>ROUND(Source!T426,O447)</f>
        <v>0</v>
      </c>
      <c r="G447" s="4" t="s">
        <v>81</v>
      </c>
      <c r="H447" s="4" t="s">
        <v>82</v>
      </c>
      <c r="I447" s="4"/>
      <c r="J447" s="4"/>
      <c r="K447" s="4">
        <v>206</v>
      </c>
      <c r="L447" s="4">
        <v>20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207</v>
      </c>
      <c r="F448" s="4">
        <f>Source!U426</f>
        <v>39.719999999999992</v>
      </c>
      <c r="G448" s="4" t="s">
        <v>83</v>
      </c>
      <c r="H448" s="4" t="s">
        <v>84</v>
      </c>
      <c r="I448" s="4"/>
      <c r="J448" s="4"/>
      <c r="K448" s="4">
        <v>207</v>
      </c>
      <c r="L448" s="4">
        <v>21</v>
      </c>
      <c r="M448" s="4">
        <v>3</v>
      </c>
      <c r="N448" s="4" t="s">
        <v>3</v>
      </c>
      <c r="O448" s="4">
        <v>-1</v>
      </c>
      <c r="P448" s="4"/>
      <c r="Q448" s="4"/>
      <c r="R448" s="4"/>
      <c r="S448" s="4"/>
      <c r="T448" s="4"/>
      <c r="U448" s="4"/>
      <c r="V448" s="4"/>
      <c r="W448" s="4">
        <v>39.72</v>
      </c>
      <c r="X448" s="4">
        <v>1</v>
      </c>
      <c r="Y448" s="4">
        <v>39.72</v>
      </c>
      <c r="Z448" s="4"/>
      <c r="AA448" s="4"/>
      <c r="AB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208</v>
      </c>
      <c r="F449" s="4">
        <f>Source!V426</f>
        <v>0</v>
      </c>
      <c r="G449" s="4" t="s">
        <v>85</v>
      </c>
      <c r="H449" s="4" t="s">
        <v>86</v>
      </c>
      <c r="I449" s="4"/>
      <c r="J449" s="4"/>
      <c r="K449" s="4">
        <v>208</v>
      </c>
      <c r="L449" s="4">
        <v>22</v>
      </c>
      <c r="M449" s="4">
        <v>3</v>
      </c>
      <c r="N449" s="4" t="s">
        <v>3</v>
      </c>
      <c r="O449" s="4">
        <v>-1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0" spans="1:206" x14ac:dyDescent="0.2">
      <c r="A450" s="4">
        <v>50</v>
      </c>
      <c r="B450" s="4">
        <v>0</v>
      </c>
      <c r="C450" s="4">
        <v>0</v>
      </c>
      <c r="D450" s="4">
        <v>1</v>
      </c>
      <c r="E450" s="4">
        <v>209</v>
      </c>
      <c r="F450" s="4">
        <f>ROUND(Source!W426,O450)</f>
        <v>0</v>
      </c>
      <c r="G450" s="4" t="s">
        <v>87</v>
      </c>
      <c r="H450" s="4" t="s">
        <v>88</v>
      </c>
      <c r="I450" s="4"/>
      <c r="J450" s="4"/>
      <c r="K450" s="4">
        <v>209</v>
      </c>
      <c r="L450" s="4">
        <v>23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06" x14ac:dyDescent="0.2">
      <c r="A451" s="4">
        <v>50</v>
      </c>
      <c r="B451" s="4">
        <v>0</v>
      </c>
      <c r="C451" s="4">
        <v>0</v>
      </c>
      <c r="D451" s="4">
        <v>1</v>
      </c>
      <c r="E451" s="4">
        <v>233</v>
      </c>
      <c r="F451" s="4">
        <f>ROUND(Source!BD426,O451)</f>
        <v>0</v>
      </c>
      <c r="G451" s="4" t="s">
        <v>89</v>
      </c>
      <c r="H451" s="4" t="s">
        <v>90</v>
      </c>
      <c r="I451" s="4"/>
      <c r="J451" s="4"/>
      <c r="K451" s="4">
        <v>233</v>
      </c>
      <c r="L451" s="4">
        <v>24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06" x14ac:dyDescent="0.2">
      <c r="A452" s="4">
        <v>50</v>
      </c>
      <c r="B452" s="4">
        <v>0</v>
      </c>
      <c r="C452" s="4">
        <v>0</v>
      </c>
      <c r="D452" s="4">
        <v>1</v>
      </c>
      <c r="E452" s="4">
        <v>210</v>
      </c>
      <c r="F452" s="4">
        <f>ROUND(Source!X426,O452)</f>
        <v>18014.32</v>
      </c>
      <c r="G452" s="4" t="s">
        <v>91</v>
      </c>
      <c r="H452" s="4" t="s">
        <v>92</v>
      </c>
      <c r="I452" s="4"/>
      <c r="J452" s="4"/>
      <c r="K452" s="4">
        <v>210</v>
      </c>
      <c r="L452" s="4">
        <v>25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18014.32</v>
      </c>
      <c r="X452" s="4">
        <v>1</v>
      </c>
      <c r="Y452" s="4">
        <v>18014.32</v>
      </c>
      <c r="Z452" s="4"/>
      <c r="AA452" s="4"/>
      <c r="AB452" s="4"/>
    </row>
    <row r="453" spans="1:206" x14ac:dyDescent="0.2">
      <c r="A453" s="4">
        <v>50</v>
      </c>
      <c r="B453" s="4">
        <v>0</v>
      </c>
      <c r="C453" s="4">
        <v>0</v>
      </c>
      <c r="D453" s="4">
        <v>1</v>
      </c>
      <c r="E453" s="4">
        <v>211</v>
      </c>
      <c r="F453" s="4">
        <f>ROUND(Source!Y426,O453)</f>
        <v>2573.4699999999998</v>
      </c>
      <c r="G453" s="4" t="s">
        <v>93</v>
      </c>
      <c r="H453" s="4" t="s">
        <v>94</v>
      </c>
      <c r="I453" s="4"/>
      <c r="J453" s="4"/>
      <c r="K453" s="4">
        <v>211</v>
      </c>
      <c r="L453" s="4">
        <v>26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2573.4699999999998</v>
      </c>
      <c r="X453" s="4">
        <v>1</v>
      </c>
      <c r="Y453" s="4">
        <v>2573.4699999999998</v>
      </c>
      <c r="Z453" s="4"/>
      <c r="AA453" s="4"/>
      <c r="AB453" s="4"/>
    </row>
    <row r="454" spans="1:206" x14ac:dyDescent="0.2">
      <c r="A454" s="4">
        <v>50</v>
      </c>
      <c r="B454" s="4">
        <v>0</v>
      </c>
      <c r="C454" s="4">
        <v>0</v>
      </c>
      <c r="D454" s="4">
        <v>1</v>
      </c>
      <c r="E454" s="4">
        <v>224</v>
      </c>
      <c r="F454" s="4">
        <f>ROUND(Source!AR426,O454)</f>
        <v>48563.07</v>
      </c>
      <c r="G454" s="4" t="s">
        <v>95</v>
      </c>
      <c r="H454" s="4" t="s">
        <v>96</v>
      </c>
      <c r="I454" s="4"/>
      <c r="J454" s="4"/>
      <c r="K454" s="4">
        <v>224</v>
      </c>
      <c r="L454" s="4">
        <v>27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48563.07</v>
      </c>
      <c r="X454" s="4">
        <v>1</v>
      </c>
      <c r="Y454" s="4">
        <v>48563.07</v>
      </c>
      <c r="Z454" s="4"/>
      <c r="AA454" s="4"/>
      <c r="AB454" s="4"/>
    </row>
    <row r="456" spans="1:206" x14ac:dyDescent="0.2">
      <c r="A456" s="2">
        <v>51</v>
      </c>
      <c r="B456" s="2">
        <f>B404</f>
        <v>1</v>
      </c>
      <c r="C456" s="2">
        <f>A404</f>
        <v>4</v>
      </c>
      <c r="D456" s="2">
        <f>ROW(A404)</f>
        <v>404</v>
      </c>
      <c r="E456" s="2"/>
      <c r="F456" s="2" t="str">
        <f>IF(F404&lt;&gt;"",F404,"")</f>
        <v>Новый раздел</v>
      </c>
      <c r="G456" s="2" t="str">
        <f>IF(G404&lt;&gt;"",G404,"")</f>
        <v>Вентиляция и кондиционирование</v>
      </c>
      <c r="H456" s="2">
        <v>0</v>
      </c>
      <c r="I456" s="2"/>
      <c r="J456" s="2"/>
      <c r="K456" s="2"/>
      <c r="L456" s="2"/>
      <c r="M456" s="2"/>
      <c r="N456" s="2"/>
      <c r="O456" s="2">
        <f t="shared" ref="O456:T456" si="233">ROUND(O426+AB456,2)</f>
        <v>27065.16</v>
      </c>
      <c r="P456" s="2">
        <f t="shared" si="233"/>
        <v>1.36</v>
      </c>
      <c r="Q456" s="2">
        <f t="shared" si="233"/>
        <v>1329.06</v>
      </c>
      <c r="R456" s="2">
        <f t="shared" si="233"/>
        <v>842.7</v>
      </c>
      <c r="S456" s="2">
        <f t="shared" si="233"/>
        <v>25734.74</v>
      </c>
      <c r="T456" s="2">
        <f t="shared" si="233"/>
        <v>0</v>
      </c>
      <c r="U456" s="2">
        <f>U426+AH456</f>
        <v>39.719999999999992</v>
      </c>
      <c r="V456" s="2">
        <f>V426+AI456</f>
        <v>0</v>
      </c>
      <c r="W456" s="2">
        <f>ROUND(W426+AJ456,2)</f>
        <v>0</v>
      </c>
      <c r="X456" s="2">
        <f>ROUND(X426+AK456,2)</f>
        <v>18014.32</v>
      </c>
      <c r="Y456" s="2">
        <f>ROUND(Y426+AL456,2)</f>
        <v>2573.4699999999998</v>
      </c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>
        <f t="shared" ref="AO456:BD456" si="234">ROUND(AO426+BX456,2)</f>
        <v>0</v>
      </c>
      <c r="AP456" s="2">
        <f t="shared" si="234"/>
        <v>0</v>
      </c>
      <c r="AQ456" s="2">
        <f t="shared" si="234"/>
        <v>0</v>
      </c>
      <c r="AR456" s="2">
        <f t="shared" si="234"/>
        <v>48563.07</v>
      </c>
      <c r="AS456" s="2">
        <f t="shared" si="234"/>
        <v>0</v>
      </c>
      <c r="AT456" s="2">
        <f t="shared" si="234"/>
        <v>0</v>
      </c>
      <c r="AU456" s="2">
        <f t="shared" si="234"/>
        <v>48563.07</v>
      </c>
      <c r="AV456" s="2">
        <f t="shared" si="234"/>
        <v>1.36</v>
      </c>
      <c r="AW456" s="2">
        <f t="shared" si="234"/>
        <v>1.36</v>
      </c>
      <c r="AX456" s="2">
        <f t="shared" si="234"/>
        <v>0</v>
      </c>
      <c r="AY456" s="2">
        <f t="shared" si="234"/>
        <v>1.36</v>
      </c>
      <c r="AZ456" s="2">
        <f t="shared" si="234"/>
        <v>0</v>
      </c>
      <c r="BA456" s="2">
        <f t="shared" si="234"/>
        <v>0</v>
      </c>
      <c r="BB456" s="2">
        <f t="shared" si="234"/>
        <v>0</v>
      </c>
      <c r="BC456" s="2">
        <f t="shared" si="234"/>
        <v>0</v>
      </c>
      <c r="BD456" s="2">
        <f t="shared" si="234"/>
        <v>0</v>
      </c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3"/>
      <c r="DH456" s="3"/>
      <c r="DI456" s="3"/>
      <c r="DJ456" s="3"/>
      <c r="DK456" s="3"/>
      <c r="DL456" s="3"/>
      <c r="DM456" s="3"/>
      <c r="DN456" s="3"/>
      <c r="DO456" s="3"/>
      <c r="DP456" s="3"/>
      <c r="DQ456" s="3"/>
      <c r="DR456" s="3"/>
      <c r="DS456" s="3"/>
      <c r="DT456" s="3"/>
      <c r="DU456" s="3"/>
      <c r="DV456" s="3"/>
      <c r="DW456" s="3"/>
      <c r="DX456" s="3"/>
      <c r="DY456" s="3"/>
      <c r="DZ456" s="3"/>
      <c r="EA456" s="3"/>
      <c r="EB456" s="3"/>
      <c r="EC456" s="3"/>
      <c r="ED456" s="3"/>
      <c r="EE456" s="3"/>
      <c r="EF456" s="3"/>
      <c r="EG456" s="3"/>
      <c r="EH456" s="3"/>
      <c r="EI456" s="3"/>
      <c r="EJ456" s="3"/>
      <c r="EK456" s="3"/>
      <c r="EL456" s="3"/>
      <c r="EM456" s="3"/>
      <c r="EN456" s="3"/>
      <c r="EO456" s="3"/>
      <c r="EP456" s="3"/>
      <c r="EQ456" s="3"/>
      <c r="ER456" s="3"/>
      <c r="ES456" s="3"/>
      <c r="ET456" s="3"/>
      <c r="EU456" s="3"/>
      <c r="EV456" s="3"/>
      <c r="EW456" s="3"/>
      <c r="EX456" s="3"/>
      <c r="EY456" s="3"/>
      <c r="EZ456" s="3"/>
      <c r="FA456" s="3"/>
      <c r="FB456" s="3"/>
      <c r="FC456" s="3"/>
      <c r="FD456" s="3"/>
      <c r="FE456" s="3"/>
      <c r="FF456" s="3"/>
      <c r="FG456" s="3"/>
      <c r="FH456" s="3"/>
      <c r="FI456" s="3"/>
      <c r="FJ456" s="3"/>
      <c r="FK456" s="3"/>
      <c r="FL456" s="3"/>
      <c r="FM456" s="3"/>
      <c r="FN456" s="3"/>
      <c r="FO456" s="3"/>
      <c r="FP456" s="3"/>
      <c r="FQ456" s="3"/>
      <c r="FR456" s="3"/>
      <c r="FS456" s="3"/>
      <c r="FT456" s="3"/>
      <c r="FU456" s="3"/>
      <c r="FV456" s="3"/>
      <c r="FW456" s="3"/>
      <c r="FX456" s="3"/>
      <c r="FY456" s="3"/>
      <c r="FZ456" s="3"/>
      <c r="GA456" s="3"/>
      <c r="GB456" s="3"/>
      <c r="GC456" s="3"/>
      <c r="GD456" s="3"/>
      <c r="GE456" s="3"/>
      <c r="GF456" s="3"/>
      <c r="GG456" s="3"/>
      <c r="GH456" s="3"/>
      <c r="GI456" s="3"/>
      <c r="GJ456" s="3"/>
      <c r="GK456" s="3"/>
      <c r="GL456" s="3"/>
      <c r="GM456" s="3"/>
      <c r="GN456" s="3"/>
      <c r="GO456" s="3"/>
      <c r="GP456" s="3"/>
      <c r="GQ456" s="3"/>
      <c r="GR456" s="3"/>
      <c r="GS456" s="3"/>
      <c r="GT456" s="3"/>
      <c r="GU456" s="3"/>
      <c r="GV456" s="3"/>
      <c r="GW456" s="3"/>
      <c r="GX456" s="3">
        <v>0</v>
      </c>
    </row>
    <row r="458" spans="1:206" x14ac:dyDescent="0.2">
      <c r="A458" s="4">
        <v>50</v>
      </c>
      <c r="B458" s="4">
        <v>0</v>
      </c>
      <c r="C458" s="4">
        <v>0</v>
      </c>
      <c r="D458" s="4">
        <v>1</v>
      </c>
      <c r="E458" s="4">
        <v>201</v>
      </c>
      <c r="F458" s="4">
        <f>ROUND(Source!O456,O458)</f>
        <v>27065.16</v>
      </c>
      <c r="G458" s="4" t="s">
        <v>43</v>
      </c>
      <c r="H458" s="4" t="s">
        <v>44</v>
      </c>
      <c r="I458" s="4"/>
      <c r="J458" s="4"/>
      <c r="K458" s="4">
        <v>201</v>
      </c>
      <c r="L458" s="4">
        <v>1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27065.16</v>
      </c>
      <c r="X458" s="4">
        <v>1</v>
      </c>
      <c r="Y458" s="4">
        <v>27065.16</v>
      </c>
      <c r="Z458" s="4"/>
      <c r="AA458" s="4"/>
      <c r="AB458" s="4"/>
    </row>
    <row r="459" spans="1:206" x14ac:dyDescent="0.2">
      <c r="A459" s="4">
        <v>50</v>
      </c>
      <c r="B459" s="4">
        <v>0</v>
      </c>
      <c r="C459" s="4">
        <v>0</v>
      </c>
      <c r="D459" s="4">
        <v>1</v>
      </c>
      <c r="E459" s="4">
        <v>202</v>
      </c>
      <c r="F459" s="4">
        <f>ROUND(Source!P456,O459)</f>
        <v>1.36</v>
      </c>
      <c r="G459" s="4" t="s">
        <v>45</v>
      </c>
      <c r="H459" s="4" t="s">
        <v>46</v>
      </c>
      <c r="I459" s="4"/>
      <c r="J459" s="4"/>
      <c r="K459" s="4">
        <v>202</v>
      </c>
      <c r="L459" s="4">
        <v>2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1.36</v>
      </c>
      <c r="X459" s="4">
        <v>1</v>
      </c>
      <c r="Y459" s="4">
        <v>1.36</v>
      </c>
      <c r="Z459" s="4"/>
      <c r="AA459" s="4"/>
      <c r="AB459" s="4"/>
    </row>
    <row r="460" spans="1:206" x14ac:dyDescent="0.2">
      <c r="A460" s="4">
        <v>50</v>
      </c>
      <c r="B460" s="4">
        <v>0</v>
      </c>
      <c r="C460" s="4">
        <v>0</v>
      </c>
      <c r="D460" s="4">
        <v>1</v>
      </c>
      <c r="E460" s="4">
        <v>222</v>
      </c>
      <c r="F460" s="4">
        <f>ROUND(Source!AO456,O460)</f>
        <v>0</v>
      </c>
      <c r="G460" s="4" t="s">
        <v>47</v>
      </c>
      <c r="H460" s="4" t="s">
        <v>48</v>
      </c>
      <c r="I460" s="4"/>
      <c r="J460" s="4"/>
      <c r="K460" s="4">
        <v>222</v>
      </c>
      <c r="L460" s="4">
        <v>3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06" x14ac:dyDescent="0.2">
      <c r="A461" s="4">
        <v>50</v>
      </c>
      <c r="B461" s="4">
        <v>0</v>
      </c>
      <c r="C461" s="4">
        <v>0</v>
      </c>
      <c r="D461" s="4">
        <v>1</v>
      </c>
      <c r="E461" s="4">
        <v>225</v>
      </c>
      <c r="F461" s="4">
        <f>ROUND(Source!AV456,O461)</f>
        <v>1.36</v>
      </c>
      <c r="G461" s="4" t="s">
        <v>49</v>
      </c>
      <c r="H461" s="4" t="s">
        <v>50</v>
      </c>
      <c r="I461" s="4"/>
      <c r="J461" s="4"/>
      <c r="K461" s="4">
        <v>225</v>
      </c>
      <c r="L461" s="4">
        <v>4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1.36</v>
      </c>
      <c r="X461" s="4">
        <v>1</v>
      </c>
      <c r="Y461" s="4">
        <v>1.36</v>
      </c>
      <c r="Z461" s="4"/>
      <c r="AA461" s="4"/>
      <c r="AB461" s="4"/>
    </row>
    <row r="462" spans="1:206" x14ac:dyDescent="0.2">
      <c r="A462" s="4">
        <v>50</v>
      </c>
      <c r="B462" s="4">
        <v>0</v>
      </c>
      <c r="C462" s="4">
        <v>0</v>
      </c>
      <c r="D462" s="4">
        <v>1</v>
      </c>
      <c r="E462" s="4">
        <v>226</v>
      </c>
      <c r="F462" s="4">
        <f>ROUND(Source!AW456,O462)</f>
        <v>1.36</v>
      </c>
      <c r="G462" s="4" t="s">
        <v>51</v>
      </c>
      <c r="H462" s="4" t="s">
        <v>52</v>
      </c>
      <c r="I462" s="4"/>
      <c r="J462" s="4"/>
      <c r="K462" s="4">
        <v>226</v>
      </c>
      <c r="L462" s="4">
        <v>5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1.36</v>
      </c>
      <c r="X462" s="4">
        <v>1</v>
      </c>
      <c r="Y462" s="4">
        <v>1.36</v>
      </c>
      <c r="Z462" s="4"/>
      <c r="AA462" s="4"/>
      <c r="AB462" s="4"/>
    </row>
    <row r="463" spans="1:206" x14ac:dyDescent="0.2">
      <c r="A463" s="4">
        <v>50</v>
      </c>
      <c r="B463" s="4">
        <v>0</v>
      </c>
      <c r="C463" s="4">
        <v>0</v>
      </c>
      <c r="D463" s="4">
        <v>1</v>
      </c>
      <c r="E463" s="4">
        <v>227</v>
      </c>
      <c r="F463" s="4">
        <f>ROUND(Source!AX456,O463)</f>
        <v>0</v>
      </c>
      <c r="G463" s="4" t="s">
        <v>53</v>
      </c>
      <c r="H463" s="4" t="s">
        <v>54</v>
      </c>
      <c r="I463" s="4"/>
      <c r="J463" s="4"/>
      <c r="K463" s="4">
        <v>227</v>
      </c>
      <c r="L463" s="4">
        <v>6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06" x14ac:dyDescent="0.2">
      <c r="A464" s="4">
        <v>50</v>
      </c>
      <c r="B464" s="4">
        <v>0</v>
      </c>
      <c r="C464" s="4">
        <v>0</v>
      </c>
      <c r="D464" s="4">
        <v>1</v>
      </c>
      <c r="E464" s="4">
        <v>228</v>
      </c>
      <c r="F464" s="4">
        <f>ROUND(Source!AY456,O464)</f>
        <v>1.36</v>
      </c>
      <c r="G464" s="4" t="s">
        <v>55</v>
      </c>
      <c r="H464" s="4" t="s">
        <v>56</v>
      </c>
      <c r="I464" s="4"/>
      <c r="J464" s="4"/>
      <c r="K464" s="4">
        <v>228</v>
      </c>
      <c r="L464" s="4">
        <v>7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1.36</v>
      </c>
      <c r="X464" s="4">
        <v>1</v>
      </c>
      <c r="Y464" s="4">
        <v>1.36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216</v>
      </c>
      <c r="F465" s="4">
        <f>ROUND(Source!AP456,O465)</f>
        <v>0</v>
      </c>
      <c r="G465" s="4" t="s">
        <v>57</v>
      </c>
      <c r="H465" s="4" t="s">
        <v>58</v>
      </c>
      <c r="I465" s="4"/>
      <c r="J465" s="4"/>
      <c r="K465" s="4">
        <v>216</v>
      </c>
      <c r="L465" s="4">
        <v>8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223</v>
      </c>
      <c r="F466" s="4">
        <f>ROUND(Source!AQ456,O466)</f>
        <v>0</v>
      </c>
      <c r="G466" s="4" t="s">
        <v>59</v>
      </c>
      <c r="H466" s="4" t="s">
        <v>60</v>
      </c>
      <c r="I466" s="4"/>
      <c r="J466" s="4"/>
      <c r="K466" s="4">
        <v>223</v>
      </c>
      <c r="L466" s="4">
        <v>9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229</v>
      </c>
      <c r="F467" s="4">
        <f>ROUND(Source!AZ456,O467)</f>
        <v>0</v>
      </c>
      <c r="G467" s="4" t="s">
        <v>61</v>
      </c>
      <c r="H467" s="4" t="s">
        <v>62</v>
      </c>
      <c r="I467" s="4"/>
      <c r="J467" s="4"/>
      <c r="K467" s="4">
        <v>229</v>
      </c>
      <c r="L467" s="4">
        <v>10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203</v>
      </c>
      <c r="F468" s="4">
        <f>ROUND(Source!Q456,O468)</f>
        <v>1329.06</v>
      </c>
      <c r="G468" s="4" t="s">
        <v>63</v>
      </c>
      <c r="H468" s="4" t="s">
        <v>64</v>
      </c>
      <c r="I468" s="4"/>
      <c r="J468" s="4"/>
      <c r="K468" s="4">
        <v>203</v>
      </c>
      <c r="L468" s="4">
        <v>11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1329.06</v>
      </c>
      <c r="X468" s="4">
        <v>1</v>
      </c>
      <c r="Y468" s="4">
        <v>1329.06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231</v>
      </c>
      <c r="F469" s="4">
        <f>ROUND(Source!BB456,O469)</f>
        <v>0</v>
      </c>
      <c r="G469" s="4" t="s">
        <v>65</v>
      </c>
      <c r="H469" s="4" t="s">
        <v>66</v>
      </c>
      <c r="I469" s="4"/>
      <c r="J469" s="4"/>
      <c r="K469" s="4">
        <v>231</v>
      </c>
      <c r="L469" s="4">
        <v>12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204</v>
      </c>
      <c r="F470" s="4">
        <f>ROUND(Source!R456,O470)</f>
        <v>842.7</v>
      </c>
      <c r="G470" s="4" t="s">
        <v>67</v>
      </c>
      <c r="H470" s="4" t="s">
        <v>68</v>
      </c>
      <c r="I470" s="4"/>
      <c r="J470" s="4"/>
      <c r="K470" s="4">
        <v>204</v>
      </c>
      <c r="L470" s="4">
        <v>13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842.7</v>
      </c>
      <c r="X470" s="4">
        <v>1</v>
      </c>
      <c r="Y470" s="4">
        <v>842.7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205</v>
      </c>
      <c r="F471" s="4">
        <f>ROUND(Source!S456,O471)</f>
        <v>25734.74</v>
      </c>
      <c r="G471" s="4" t="s">
        <v>69</v>
      </c>
      <c r="H471" s="4" t="s">
        <v>70</v>
      </c>
      <c r="I471" s="4"/>
      <c r="J471" s="4"/>
      <c r="K471" s="4">
        <v>205</v>
      </c>
      <c r="L471" s="4">
        <v>14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25734.74</v>
      </c>
      <c r="X471" s="4">
        <v>1</v>
      </c>
      <c r="Y471" s="4">
        <v>25734.74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232</v>
      </c>
      <c r="F472" s="4">
        <f>ROUND(Source!BC456,O472)</f>
        <v>0</v>
      </c>
      <c r="G472" s="4" t="s">
        <v>71</v>
      </c>
      <c r="H472" s="4" t="s">
        <v>72</v>
      </c>
      <c r="I472" s="4"/>
      <c r="J472" s="4"/>
      <c r="K472" s="4">
        <v>232</v>
      </c>
      <c r="L472" s="4">
        <v>15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214</v>
      </c>
      <c r="F473" s="4">
        <f>ROUND(Source!AS456,O473)</f>
        <v>0</v>
      </c>
      <c r="G473" s="4" t="s">
        <v>73</v>
      </c>
      <c r="H473" s="4" t="s">
        <v>74</v>
      </c>
      <c r="I473" s="4"/>
      <c r="J473" s="4"/>
      <c r="K473" s="4">
        <v>214</v>
      </c>
      <c r="L473" s="4">
        <v>16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215</v>
      </c>
      <c r="F474" s="4">
        <f>ROUND(Source!AT456,O474)</f>
        <v>0</v>
      </c>
      <c r="G474" s="4" t="s">
        <v>75</v>
      </c>
      <c r="H474" s="4" t="s">
        <v>76</v>
      </c>
      <c r="I474" s="4"/>
      <c r="J474" s="4"/>
      <c r="K474" s="4">
        <v>215</v>
      </c>
      <c r="L474" s="4">
        <v>17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217</v>
      </c>
      <c r="F475" s="4">
        <f>ROUND(Source!AU456,O475)</f>
        <v>48563.07</v>
      </c>
      <c r="G475" s="4" t="s">
        <v>77</v>
      </c>
      <c r="H475" s="4" t="s">
        <v>78</v>
      </c>
      <c r="I475" s="4"/>
      <c r="J475" s="4"/>
      <c r="K475" s="4">
        <v>217</v>
      </c>
      <c r="L475" s="4">
        <v>18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48563.07</v>
      </c>
      <c r="X475" s="4">
        <v>1</v>
      </c>
      <c r="Y475" s="4">
        <v>48563.07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230</v>
      </c>
      <c r="F476" s="4">
        <f>ROUND(Source!BA456,O476)</f>
        <v>0</v>
      </c>
      <c r="G476" s="4" t="s">
        <v>79</v>
      </c>
      <c r="H476" s="4" t="s">
        <v>80</v>
      </c>
      <c r="I476" s="4"/>
      <c r="J476" s="4"/>
      <c r="K476" s="4">
        <v>230</v>
      </c>
      <c r="L476" s="4">
        <v>19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206</v>
      </c>
      <c r="F477" s="4">
        <f>ROUND(Source!T456,O477)</f>
        <v>0</v>
      </c>
      <c r="G477" s="4" t="s">
        <v>81</v>
      </c>
      <c r="H477" s="4" t="s">
        <v>82</v>
      </c>
      <c r="I477" s="4"/>
      <c r="J477" s="4"/>
      <c r="K477" s="4">
        <v>206</v>
      </c>
      <c r="L477" s="4">
        <v>20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207</v>
      </c>
      <c r="F478" s="4">
        <f>Source!U456</f>
        <v>39.719999999999992</v>
      </c>
      <c r="G478" s="4" t="s">
        <v>83</v>
      </c>
      <c r="H478" s="4" t="s">
        <v>84</v>
      </c>
      <c r="I478" s="4"/>
      <c r="J478" s="4"/>
      <c r="K478" s="4">
        <v>207</v>
      </c>
      <c r="L478" s="4">
        <v>21</v>
      </c>
      <c r="M478" s="4">
        <v>3</v>
      </c>
      <c r="N478" s="4" t="s">
        <v>3</v>
      </c>
      <c r="O478" s="4">
        <v>-1</v>
      </c>
      <c r="P478" s="4"/>
      <c r="Q478" s="4"/>
      <c r="R478" s="4"/>
      <c r="S478" s="4"/>
      <c r="T478" s="4"/>
      <c r="U478" s="4"/>
      <c r="V478" s="4"/>
      <c r="W478" s="4">
        <v>39.72</v>
      </c>
      <c r="X478" s="4">
        <v>1</v>
      </c>
      <c r="Y478" s="4">
        <v>39.72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208</v>
      </c>
      <c r="F479" s="4">
        <f>Source!V456</f>
        <v>0</v>
      </c>
      <c r="G479" s="4" t="s">
        <v>85</v>
      </c>
      <c r="H479" s="4" t="s">
        <v>86</v>
      </c>
      <c r="I479" s="4"/>
      <c r="J479" s="4"/>
      <c r="K479" s="4">
        <v>208</v>
      </c>
      <c r="L479" s="4">
        <v>22</v>
      </c>
      <c r="M479" s="4">
        <v>3</v>
      </c>
      <c r="N479" s="4" t="s">
        <v>3</v>
      </c>
      <c r="O479" s="4">
        <v>-1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209</v>
      </c>
      <c r="F480" s="4">
        <f>ROUND(Source!W456,O480)</f>
        <v>0</v>
      </c>
      <c r="G480" s="4" t="s">
        <v>87</v>
      </c>
      <c r="H480" s="4" t="s">
        <v>88</v>
      </c>
      <c r="I480" s="4"/>
      <c r="J480" s="4"/>
      <c r="K480" s="4">
        <v>209</v>
      </c>
      <c r="L480" s="4">
        <v>23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45" x14ac:dyDescent="0.2">
      <c r="A481" s="4">
        <v>50</v>
      </c>
      <c r="B481" s="4">
        <v>0</v>
      </c>
      <c r="C481" s="4">
        <v>0</v>
      </c>
      <c r="D481" s="4">
        <v>1</v>
      </c>
      <c r="E481" s="4">
        <v>233</v>
      </c>
      <c r="F481" s="4">
        <f>ROUND(Source!BD456,O481)</f>
        <v>0</v>
      </c>
      <c r="G481" s="4" t="s">
        <v>89</v>
      </c>
      <c r="H481" s="4" t="s">
        <v>90</v>
      </c>
      <c r="I481" s="4"/>
      <c r="J481" s="4"/>
      <c r="K481" s="4">
        <v>233</v>
      </c>
      <c r="L481" s="4">
        <v>24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45" x14ac:dyDescent="0.2">
      <c r="A482" s="4">
        <v>50</v>
      </c>
      <c r="B482" s="4">
        <v>0</v>
      </c>
      <c r="C482" s="4">
        <v>0</v>
      </c>
      <c r="D482" s="4">
        <v>1</v>
      </c>
      <c r="E482" s="4">
        <v>210</v>
      </c>
      <c r="F482" s="4">
        <f>ROUND(Source!X456,O482)</f>
        <v>18014.32</v>
      </c>
      <c r="G482" s="4" t="s">
        <v>91</v>
      </c>
      <c r="H482" s="4" t="s">
        <v>92</v>
      </c>
      <c r="I482" s="4"/>
      <c r="J482" s="4"/>
      <c r="K482" s="4">
        <v>210</v>
      </c>
      <c r="L482" s="4">
        <v>25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18014.32</v>
      </c>
      <c r="X482" s="4">
        <v>1</v>
      </c>
      <c r="Y482" s="4">
        <v>18014.32</v>
      </c>
      <c r="Z482" s="4"/>
      <c r="AA482" s="4"/>
      <c r="AB482" s="4"/>
    </row>
    <row r="483" spans="1:245" x14ac:dyDescent="0.2">
      <c r="A483" s="4">
        <v>50</v>
      </c>
      <c r="B483" s="4">
        <v>0</v>
      </c>
      <c r="C483" s="4">
        <v>0</v>
      </c>
      <c r="D483" s="4">
        <v>1</v>
      </c>
      <c r="E483" s="4">
        <v>211</v>
      </c>
      <c r="F483" s="4">
        <f>ROUND(Source!Y456,O483)</f>
        <v>2573.4699999999998</v>
      </c>
      <c r="G483" s="4" t="s">
        <v>93</v>
      </c>
      <c r="H483" s="4" t="s">
        <v>94</v>
      </c>
      <c r="I483" s="4"/>
      <c r="J483" s="4"/>
      <c r="K483" s="4">
        <v>211</v>
      </c>
      <c r="L483" s="4">
        <v>26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2573.4699999999998</v>
      </c>
      <c r="X483" s="4">
        <v>1</v>
      </c>
      <c r="Y483" s="4">
        <v>2573.4699999999998</v>
      </c>
      <c r="Z483" s="4"/>
      <c r="AA483" s="4"/>
      <c r="AB483" s="4"/>
    </row>
    <row r="484" spans="1:245" x14ac:dyDescent="0.2">
      <c r="A484" s="4">
        <v>50</v>
      </c>
      <c r="B484" s="4">
        <v>0</v>
      </c>
      <c r="C484" s="4">
        <v>0</v>
      </c>
      <c r="D484" s="4">
        <v>1</v>
      </c>
      <c r="E484" s="4">
        <v>224</v>
      </c>
      <c r="F484" s="4">
        <f>ROUND(Source!AR456,O484)</f>
        <v>48563.07</v>
      </c>
      <c r="G484" s="4" t="s">
        <v>95</v>
      </c>
      <c r="H484" s="4" t="s">
        <v>96</v>
      </c>
      <c r="I484" s="4"/>
      <c r="J484" s="4"/>
      <c r="K484" s="4">
        <v>224</v>
      </c>
      <c r="L484" s="4">
        <v>27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48563.07</v>
      </c>
      <c r="X484" s="4">
        <v>1</v>
      </c>
      <c r="Y484" s="4">
        <v>48563.07</v>
      </c>
      <c r="Z484" s="4"/>
      <c r="AA484" s="4"/>
      <c r="AB484" s="4"/>
    </row>
    <row r="486" spans="1:245" x14ac:dyDescent="0.2">
      <c r="A486" s="1">
        <v>4</v>
      </c>
      <c r="B486" s="1">
        <v>1</v>
      </c>
      <c r="C486" s="1"/>
      <c r="D486" s="1">
        <f>ROW(A703)</f>
        <v>703</v>
      </c>
      <c r="E486" s="1"/>
      <c r="F486" s="1" t="s">
        <v>12</v>
      </c>
      <c r="G486" s="1" t="s">
        <v>204</v>
      </c>
      <c r="H486" s="1" t="s">
        <v>3</v>
      </c>
      <c r="I486" s="1">
        <v>0</v>
      </c>
      <c r="J486" s="1"/>
      <c r="K486" s="1">
        <v>-1</v>
      </c>
      <c r="L486" s="1"/>
      <c r="M486" s="1" t="s">
        <v>3</v>
      </c>
      <c r="N486" s="1"/>
      <c r="O486" s="1"/>
      <c r="P486" s="1"/>
      <c r="Q486" s="1"/>
      <c r="R486" s="1"/>
      <c r="S486" s="1">
        <v>0</v>
      </c>
      <c r="T486" s="1"/>
      <c r="U486" s="1" t="s">
        <v>3</v>
      </c>
      <c r="V486" s="1">
        <v>0</v>
      </c>
      <c r="W486" s="1"/>
      <c r="X486" s="1"/>
      <c r="Y486" s="1"/>
      <c r="Z486" s="1"/>
      <c r="AA486" s="1"/>
      <c r="AB486" s="1" t="s">
        <v>3</v>
      </c>
      <c r="AC486" s="1" t="s">
        <v>3</v>
      </c>
      <c r="AD486" s="1" t="s">
        <v>3</v>
      </c>
      <c r="AE486" s="1" t="s">
        <v>3</v>
      </c>
      <c r="AF486" s="1" t="s">
        <v>3</v>
      </c>
      <c r="AG486" s="1" t="s">
        <v>3</v>
      </c>
      <c r="AH486" s="1"/>
      <c r="AI486" s="1"/>
      <c r="AJ486" s="1"/>
      <c r="AK486" s="1"/>
      <c r="AL486" s="1"/>
      <c r="AM486" s="1"/>
      <c r="AN486" s="1"/>
      <c r="AO486" s="1"/>
      <c r="AP486" s="1" t="s">
        <v>3</v>
      </c>
      <c r="AQ486" s="1" t="s">
        <v>3</v>
      </c>
      <c r="AR486" s="1" t="s">
        <v>3</v>
      </c>
      <c r="AS486" s="1"/>
      <c r="AT486" s="1"/>
      <c r="AU486" s="1"/>
      <c r="AV486" s="1"/>
      <c r="AW486" s="1"/>
      <c r="AX486" s="1"/>
      <c r="AY486" s="1"/>
      <c r="AZ486" s="1" t="s">
        <v>3</v>
      </c>
      <c r="BA486" s="1"/>
      <c r="BB486" s="1" t="s">
        <v>3</v>
      </c>
      <c r="BC486" s="1" t="s">
        <v>3</v>
      </c>
      <c r="BD486" s="1" t="s">
        <v>3</v>
      </c>
      <c r="BE486" s="1" t="s">
        <v>3</v>
      </c>
      <c r="BF486" s="1" t="s">
        <v>3</v>
      </c>
      <c r="BG486" s="1" t="s">
        <v>3</v>
      </c>
      <c r="BH486" s="1" t="s">
        <v>3</v>
      </c>
      <c r="BI486" s="1" t="s">
        <v>3</v>
      </c>
      <c r="BJ486" s="1" t="s">
        <v>3</v>
      </c>
      <c r="BK486" s="1" t="s">
        <v>3</v>
      </c>
      <c r="BL486" s="1" t="s">
        <v>3</v>
      </c>
      <c r="BM486" s="1" t="s">
        <v>3</v>
      </c>
      <c r="BN486" s="1" t="s">
        <v>3</v>
      </c>
      <c r="BO486" s="1" t="s">
        <v>3</v>
      </c>
      <c r="BP486" s="1" t="s">
        <v>3</v>
      </c>
      <c r="BQ486" s="1"/>
      <c r="BR486" s="1"/>
      <c r="BS486" s="1"/>
      <c r="BT486" s="1"/>
      <c r="BU486" s="1"/>
      <c r="BV486" s="1"/>
      <c r="BW486" s="1"/>
      <c r="BX486" s="1">
        <v>0</v>
      </c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>
        <v>0</v>
      </c>
    </row>
    <row r="488" spans="1:245" x14ac:dyDescent="0.2">
      <c r="A488" s="2">
        <v>52</v>
      </c>
      <c r="B488" s="2">
        <f t="shared" ref="B488:G488" si="235">B703</f>
        <v>1</v>
      </c>
      <c r="C488" s="2">
        <f t="shared" si="235"/>
        <v>4</v>
      </c>
      <c r="D488" s="2">
        <f t="shared" si="235"/>
        <v>486</v>
      </c>
      <c r="E488" s="2">
        <f t="shared" si="235"/>
        <v>0</v>
      </c>
      <c r="F488" s="2" t="str">
        <f t="shared" si="235"/>
        <v>Новый раздел</v>
      </c>
      <c r="G488" s="2" t="str">
        <f t="shared" si="235"/>
        <v>Электроснабжение и электроосвещение</v>
      </c>
      <c r="H488" s="2"/>
      <c r="I488" s="2"/>
      <c r="J488" s="2"/>
      <c r="K488" s="2"/>
      <c r="L488" s="2"/>
      <c r="M488" s="2"/>
      <c r="N488" s="2"/>
      <c r="O488" s="2">
        <f t="shared" ref="O488:AT488" si="236">O703</f>
        <v>366141.05</v>
      </c>
      <c r="P488" s="2">
        <f t="shared" si="236"/>
        <v>4363.33</v>
      </c>
      <c r="Q488" s="2">
        <f t="shared" si="236"/>
        <v>789.62</v>
      </c>
      <c r="R488" s="2">
        <f t="shared" si="236"/>
        <v>500.68</v>
      </c>
      <c r="S488" s="2">
        <f t="shared" si="236"/>
        <v>360988.1</v>
      </c>
      <c r="T488" s="2">
        <f t="shared" si="236"/>
        <v>0</v>
      </c>
      <c r="U488" s="2">
        <f t="shared" si="236"/>
        <v>603.01307999999995</v>
      </c>
      <c r="V488" s="2">
        <f t="shared" si="236"/>
        <v>0</v>
      </c>
      <c r="W488" s="2">
        <f t="shared" si="236"/>
        <v>0</v>
      </c>
      <c r="X488" s="2">
        <f t="shared" si="236"/>
        <v>252691.7</v>
      </c>
      <c r="Y488" s="2">
        <f t="shared" si="236"/>
        <v>36098.839999999997</v>
      </c>
      <c r="Z488" s="2">
        <f t="shared" si="236"/>
        <v>0</v>
      </c>
      <c r="AA488" s="2">
        <f t="shared" si="236"/>
        <v>0</v>
      </c>
      <c r="AB488" s="2">
        <f t="shared" si="236"/>
        <v>0</v>
      </c>
      <c r="AC488" s="2">
        <f t="shared" si="236"/>
        <v>0</v>
      </c>
      <c r="AD488" s="2">
        <f t="shared" si="236"/>
        <v>0</v>
      </c>
      <c r="AE488" s="2">
        <f t="shared" si="236"/>
        <v>0</v>
      </c>
      <c r="AF488" s="2">
        <f t="shared" si="236"/>
        <v>0</v>
      </c>
      <c r="AG488" s="2">
        <f t="shared" si="236"/>
        <v>0</v>
      </c>
      <c r="AH488" s="2">
        <f t="shared" si="236"/>
        <v>0</v>
      </c>
      <c r="AI488" s="2">
        <f t="shared" si="236"/>
        <v>0</v>
      </c>
      <c r="AJ488" s="2">
        <f t="shared" si="236"/>
        <v>0</v>
      </c>
      <c r="AK488" s="2">
        <f t="shared" si="236"/>
        <v>0</v>
      </c>
      <c r="AL488" s="2">
        <f t="shared" si="236"/>
        <v>0</v>
      </c>
      <c r="AM488" s="2">
        <f t="shared" si="236"/>
        <v>0</v>
      </c>
      <c r="AN488" s="2">
        <f t="shared" si="236"/>
        <v>0</v>
      </c>
      <c r="AO488" s="2">
        <f t="shared" si="236"/>
        <v>0</v>
      </c>
      <c r="AP488" s="2">
        <f t="shared" si="236"/>
        <v>0</v>
      </c>
      <c r="AQ488" s="2">
        <f t="shared" si="236"/>
        <v>0</v>
      </c>
      <c r="AR488" s="2">
        <f t="shared" si="236"/>
        <v>655472.31999999995</v>
      </c>
      <c r="AS488" s="2">
        <f t="shared" si="236"/>
        <v>0</v>
      </c>
      <c r="AT488" s="2">
        <f t="shared" si="236"/>
        <v>0</v>
      </c>
      <c r="AU488" s="2">
        <f t="shared" ref="AU488:BZ488" si="237">AU703</f>
        <v>655472.31999999995</v>
      </c>
      <c r="AV488" s="2">
        <f t="shared" si="237"/>
        <v>4363.33</v>
      </c>
      <c r="AW488" s="2">
        <f t="shared" si="237"/>
        <v>4363.33</v>
      </c>
      <c r="AX488" s="2">
        <f t="shared" si="237"/>
        <v>0</v>
      </c>
      <c r="AY488" s="2">
        <f t="shared" si="237"/>
        <v>4363.33</v>
      </c>
      <c r="AZ488" s="2">
        <f t="shared" si="237"/>
        <v>0</v>
      </c>
      <c r="BA488" s="2">
        <f t="shared" si="237"/>
        <v>0</v>
      </c>
      <c r="BB488" s="2">
        <f t="shared" si="237"/>
        <v>0</v>
      </c>
      <c r="BC488" s="2">
        <f t="shared" si="237"/>
        <v>0</v>
      </c>
      <c r="BD488" s="2">
        <f t="shared" si="237"/>
        <v>0</v>
      </c>
      <c r="BE488" s="2">
        <f t="shared" si="237"/>
        <v>0</v>
      </c>
      <c r="BF488" s="2">
        <f t="shared" si="237"/>
        <v>0</v>
      </c>
      <c r="BG488" s="2">
        <f t="shared" si="237"/>
        <v>0</v>
      </c>
      <c r="BH488" s="2">
        <f t="shared" si="237"/>
        <v>0</v>
      </c>
      <c r="BI488" s="2">
        <f t="shared" si="237"/>
        <v>0</v>
      </c>
      <c r="BJ488" s="2">
        <f t="shared" si="237"/>
        <v>0</v>
      </c>
      <c r="BK488" s="2">
        <f t="shared" si="237"/>
        <v>0</v>
      </c>
      <c r="BL488" s="2">
        <f t="shared" si="237"/>
        <v>0</v>
      </c>
      <c r="BM488" s="2">
        <f t="shared" si="237"/>
        <v>0</v>
      </c>
      <c r="BN488" s="2">
        <f t="shared" si="237"/>
        <v>0</v>
      </c>
      <c r="BO488" s="2">
        <f t="shared" si="237"/>
        <v>0</v>
      </c>
      <c r="BP488" s="2">
        <f t="shared" si="237"/>
        <v>0</v>
      </c>
      <c r="BQ488" s="2">
        <f t="shared" si="237"/>
        <v>0</v>
      </c>
      <c r="BR488" s="2">
        <f t="shared" si="237"/>
        <v>0</v>
      </c>
      <c r="BS488" s="2">
        <f t="shared" si="237"/>
        <v>0</v>
      </c>
      <c r="BT488" s="2">
        <f t="shared" si="237"/>
        <v>0</v>
      </c>
      <c r="BU488" s="2">
        <f t="shared" si="237"/>
        <v>0</v>
      </c>
      <c r="BV488" s="2">
        <f t="shared" si="237"/>
        <v>0</v>
      </c>
      <c r="BW488" s="2">
        <f t="shared" si="237"/>
        <v>0</v>
      </c>
      <c r="BX488" s="2">
        <f t="shared" si="237"/>
        <v>0</v>
      </c>
      <c r="BY488" s="2">
        <f t="shared" si="237"/>
        <v>0</v>
      </c>
      <c r="BZ488" s="2">
        <f t="shared" si="237"/>
        <v>0</v>
      </c>
      <c r="CA488" s="2">
        <f t="shared" ref="CA488:DF488" si="238">CA703</f>
        <v>0</v>
      </c>
      <c r="CB488" s="2">
        <f t="shared" si="238"/>
        <v>0</v>
      </c>
      <c r="CC488" s="2">
        <f t="shared" si="238"/>
        <v>0</v>
      </c>
      <c r="CD488" s="2">
        <f t="shared" si="238"/>
        <v>0</v>
      </c>
      <c r="CE488" s="2">
        <f t="shared" si="238"/>
        <v>0</v>
      </c>
      <c r="CF488" s="2">
        <f t="shared" si="238"/>
        <v>0</v>
      </c>
      <c r="CG488" s="2">
        <f t="shared" si="238"/>
        <v>0</v>
      </c>
      <c r="CH488" s="2">
        <f t="shared" si="238"/>
        <v>0</v>
      </c>
      <c r="CI488" s="2">
        <f t="shared" si="238"/>
        <v>0</v>
      </c>
      <c r="CJ488" s="2">
        <f t="shared" si="238"/>
        <v>0</v>
      </c>
      <c r="CK488" s="2">
        <f t="shared" si="238"/>
        <v>0</v>
      </c>
      <c r="CL488" s="2">
        <f t="shared" si="238"/>
        <v>0</v>
      </c>
      <c r="CM488" s="2">
        <f t="shared" si="238"/>
        <v>0</v>
      </c>
      <c r="CN488" s="2">
        <f t="shared" si="238"/>
        <v>0</v>
      </c>
      <c r="CO488" s="2">
        <f t="shared" si="238"/>
        <v>0</v>
      </c>
      <c r="CP488" s="2">
        <f t="shared" si="238"/>
        <v>0</v>
      </c>
      <c r="CQ488" s="2">
        <f t="shared" si="238"/>
        <v>0</v>
      </c>
      <c r="CR488" s="2">
        <f t="shared" si="238"/>
        <v>0</v>
      </c>
      <c r="CS488" s="2">
        <f t="shared" si="238"/>
        <v>0</v>
      </c>
      <c r="CT488" s="2">
        <f t="shared" si="238"/>
        <v>0</v>
      </c>
      <c r="CU488" s="2">
        <f t="shared" si="238"/>
        <v>0</v>
      </c>
      <c r="CV488" s="2">
        <f t="shared" si="238"/>
        <v>0</v>
      </c>
      <c r="CW488" s="2">
        <f t="shared" si="238"/>
        <v>0</v>
      </c>
      <c r="CX488" s="2">
        <f t="shared" si="238"/>
        <v>0</v>
      </c>
      <c r="CY488" s="2">
        <f t="shared" si="238"/>
        <v>0</v>
      </c>
      <c r="CZ488" s="2">
        <f t="shared" si="238"/>
        <v>0</v>
      </c>
      <c r="DA488" s="2">
        <f t="shared" si="238"/>
        <v>0</v>
      </c>
      <c r="DB488" s="2">
        <f t="shared" si="238"/>
        <v>0</v>
      </c>
      <c r="DC488" s="2">
        <f t="shared" si="238"/>
        <v>0</v>
      </c>
      <c r="DD488" s="2">
        <f t="shared" si="238"/>
        <v>0</v>
      </c>
      <c r="DE488" s="2">
        <f t="shared" si="238"/>
        <v>0</v>
      </c>
      <c r="DF488" s="2">
        <f t="shared" si="238"/>
        <v>0</v>
      </c>
      <c r="DG488" s="3">
        <f t="shared" ref="DG488:EL488" si="239">DG703</f>
        <v>0</v>
      </c>
      <c r="DH488" s="3">
        <f t="shared" si="239"/>
        <v>0</v>
      </c>
      <c r="DI488" s="3">
        <f t="shared" si="239"/>
        <v>0</v>
      </c>
      <c r="DJ488" s="3">
        <f t="shared" si="239"/>
        <v>0</v>
      </c>
      <c r="DK488" s="3">
        <f t="shared" si="239"/>
        <v>0</v>
      </c>
      <c r="DL488" s="3">
        <f t="shared" si="239"/>
        <v>0</v>
      </c>
      <c r="DM488" s="3">
        <f t="shared" si="239"/>
        <v>0</v>
      </c>
      <c r="DN488" s="3">
        <f t="shared" si="239"/>
        <v>0</v>
      </c>
      <c r="DO488" s="3">
        <f t="shared" si="239"/>
        <v>0</v>
      </c>
      <c r="DP488" s="3">
        <f t="shared" si="239"/>
        <v>0</v>
      </c>
      <c r="DQ488" s="3">
        <f t="shared" si="239"/>
        <v>0</v>
      </c>
      <c r="DR488" s="3">
        <f t="shared" si="239"/>
        <v>0</v>
      </c>
      <c r="DS488" s="3">
        <f t="shared" si="239"/>
        <v>0</v>
      </c>
      <c r="DT488" s="3">
        <f t="shared" si="239"/>
        <v>0</v>
      </c>
      <c r="DU488" s="3">
        <f t="shared" si="239"/>
        <v>0</v>
      </c>
      <c r="DV488" s="3">
        <f t="shared" si="239"/>
        <v>0</v>
      </c>
      <c r="DW488" s="3">
        <f t="shared" si="239"/>
        <v>0</v>
      </c>
      <c r="DX488" s="3">
        <f t="shared" si="239"/>
        <v>0</v>
      </c>
      <c r="DY488" s="3">
        <f t="shared" si="239"/>
        <v>0</v>
      </c>
      <c r="DZ488" s="3">
        <f t="shared" si="239"/>
        <v>0</v>
      </c>
      <c r="EA488" s="3">
        <f t="shared" si="239"/>
        <v>0</v>
      </c>
      <c r="EB488" s="3">
        <f t="shared" si="239"/>
        <v>0</v>
      </c>
      <c r="EC488" s="3">
        <f t="shared" si="239"/>
        <v>0</v>
      </c>
      <c r="ED488" s="3">
        <f t="shared" si="239"/>
        <v>0</v>
      </c>
      <c r="EE488" s="3">
        <f t="shared" si="239"/>
        <v>0</v>
      </c>
      <c r="EF488" s="3">
        <f t="shared" si="239"/>
        <v>0</v>
      </c>
      <c r="EG488" s="3">
        <f t="shared" si="239"/>
        <v>0</v>
      </c>
      <c r="EH488" s="3">
        <f t="shared" si="239"/>
        <v>0</v>
      </c>
      <c r="EI488" s="3">
        <f t="shared" si="239"/>
        <v>0</v>
      </c>
      <c r="EJ488" s="3">
        <f t="shared" si="239"/>
        <v>0</v>
      </c>
      <c r="EK488" s="3">
        <f t="shared" si="239"/>
        <v>0</v>
      </c>
      <c r="EL488" s="3">
        <f t="shared" si="239"/>
        <v>0</v>
      </c>
      <c r="EM488" s="3">
        <f t="shared" ref="EM488:FR488" si="240">EM703</f>
        <v>0</v>
      </c>
      <c r="EN488" s="3">
        <f t="shared" si="240"/>
        <v>0</v>
      </c>
      <c r="EO488" s="3">
        <f t="shared" si="240"/>
        <v>0</v>
      </c>
      <c r="EP488" s="3">
        <f t="shared" si="240"/>
        <v>0</v>
      </c>
      <c r="EQ488" s="3">
        <f t="shared" si="240"/>
        <v>0</v>
      </c>
      <c r="ER488" s="3">
        <f t="shared" si="240"/>
        <v>0</v>
      </c>
      <c r="ES488" s="3">
        <f t="shared" si="240"/>
        <v>0</v>
      </c>
      <c r="ET488" s="3">
        <f t="shared" si="240"/>
        <v>0</v>
      </c>
      <c r="EU488" s="3">
        <f t="shared" si="240"/>
        <v>0</v>
      </c>
      <c r="EV488" s="3">
        <f t="shared" si="240"/>
        <v>0</v>
      </c>
      <c r="EW488" s="3">
        <f t="shared" si="240"/>
        <v>0</v>
      </c>
      <c r="EX488" s="3">
        <f t="shared" si="240"/>
        <v>0</v>
      </c>
      <c r="EY488" s="3">
        <f t="shared" si="240"/>
        <v>0</v>
      </c>
      <c r="EZ488" s="3">
        <f t="shared" si="240"/>
        <v>0</v>
      </c>
      <c r="FA488" s="3">
        <f t="shared" si="240"/>
        <v>0</v>
      </c>
      <c r="FB488" s="3">
        <f t="shared" si="240"/>
        <v>0</v>
      </c>
      <c r="FC488" s="3">
        <f t="shared" si="240"/>
        <v>0</v>
      </c>
      <c r="FD488" s="3">
        <f t="shared" si="240"/>
        <v>0</v>
      </c>
      <c r="FE488" s="3">
        <f t="shared" si="240"/>
        <v>0</v>
      </c>
      <c r="FF488" s="3">
        <f t="shared" si="240"/>
        <v>0</v>
      </c>
      <c r="FG488" s="3">
        <f t="shared" si="240"/>
        <v>0</v>
      </c>
      <c r="FH488" s="3">
        <f t="shared" si="240"/>
        <v>0</v>
      </c>
      <c r="FI488" s="3">
        <f t="shared" si="240"/>
        <v>0</v>
      </c>
      <c r="FJ488" s="3">
        <f t="shared" si="240"/>
        <v>0</v>
      </c>
      <c r="FK488" s="3">
        <f t="shared" si="240"/>
        <v>0</v>
      </c>
      <c r="FL488" s="3">
        <f t="shared" si="240"/>
        <v>0</v>
      </c>
      <c r="FM488" s="3">
        <f t="shared" si="240"/>
        <v>0</v>
      </c>
      <c r="FN488" s="3">
        <f t="shared" si="240"/>
        <v>0</v>
      </c>
      <c r="FO488" s="3">
        <f t="shared" si="240"/>
        <v>0</v>
      </c>
      <c r="FP488" s="3">
        <f t="shared" si="240"/>
        <v>0</v>
      </c>
      <c r="FQ488" s="3">
        <f t="shared" si="240"/>
        <v>0</v>
      </c>
      <c r="FR488" s="3">
        <f t="shared" si="240"/>
        <v>0</v>
      </c>
      <c r="FS488" s="3">
        <f t="shared" ref="FS488:GX488" si="241">FS703</f>
        <v>0</v>
      </c>
      <c r="FT488" s="3">
        <f t="shared" si="241"/>
        <v>0</v>
      </c>
      <c r="FU488" s="3">
        <f t="shared" si="241"/>
        <v>0</v>
      </c>
      <c r="FV488" s="3">
        <f t="shared" si="241"/>
        <v>0</v>
      </c>
      <c r="FW488" s="3">
        <f t="shared" si="241"/>
        <v>0</v>
      </c>
      <c r="FX488" s="3">
        <f t="shared" si="241"/>
        <v>0</v>
      </c>
      <c r="FY488" s="3">
        <f t="shared" si="241"/>
        <v>0</v>
      </c>
      <c r="FZ488" s="3">
        <f t="shared" si="241"/>
        <v>0</v>
      </c>
      <c r="GA488" s="3">
        <f t="shared" si="241"/>
        <v>0</v>
      </c>
      <c r="GB488" s="3">
        <f t="shared" si="241"/>
        <v>0</v>
      </c>
      <c r="GC488" s="3">
        <f t="shared" si="241"/>
        <v>0</v>
      </c>
      <c r="GD488" s="3">
        <f t="shared" si="241"/>
        <v>0</v>
      </c>
      <c r="GE488" s="3">
        <f t="shared" si="241"/>
        <v>0</v>
      </c>
      <c r="GF488" s="3">
        <f t="shared" si="241"/>
        <v>0</v>
      </c>
      <c r="GG488" s="3">
        <f t="shared" si="241"/>
        <v>0</v>
      </c>
      <c r="GH488" s="3">
        <f t="shared" si="241"/>
        <v>0</v>
      </c>
      <c r="GI488" s="3">
        <f t="shared" si="241"/>
        <v>0</v>
      </c>
      <c r="GJ488" s="3">
        <f t="shared" si="241"/>
        <v>0</v>
      </c>
      <c r="GK488" s="3">
        <f t="shared" si="241"/>
        <v>0</v>
      </c>
      <c r="GL488" s="3">
        <f t="shared" si="241"/>
        <v>0</v>
      </c>
      <c r="GM488" s="3">
        <f t="shared" si="241"/>
        <v>0</v>
      </c>
      <c r="GN488" s="3">
        <f t="shared" si="241"/>
        <v>0</v>
      </c>
      <c r="GO488" s="3">
        <f t="shared" si="241"/>
        <v>0</v>
      </c>
      <c r="GP488" s="3">
        <f t="shared" si="241"/>
        <v>0</v>
      </c>
      <c r="GQ488" s="3">
        <f t="shared" si="241"/>
        <v>0</v>
      </c>
      <c r="GR488" s="3">
        <f t="shared" si="241"/>
        <v>0</v>
      </c>
      <c r="GS488" s="3">
        <f t="shared" si="241"/>
        <v>0</v>
      </c>
      <c r="GT488" s="3">
        <f t="shared" si="241"/>
        <v>0</v>
      </c>
      <c r="GU488" s="3">
        <f t="shared" si="241"/>
        <v>0</v>
      </c>
      <c r="GV488" s="3">
        <f t="shared" si="241"/>
        <v>0</v>
      </c>
      <c r="GW488" s="3">
        <f t="shared" si="241"/>
        <v>0</v>
      </c>
      <c r="GX488" s="3">
        <f t="shared" si="241"/>
        <v>0</v>
      </c>
    </row>
    <row r="490" spans="1:245" x14ac:dyDescent="0.2">
      <c r="A490" s="1">
        <v>5</v>
      </c>
      <c r="B490" s="1">
        <v>1</v>
      </c>
      <c r="C490" s="1"/>
      <c r="D490" s="1">
        <f>ROW(A535)</f>
        <v>535</v>
      </c>
      <c r="E490" s="1"/>
      <c r="F490" s="1" t="s">
        <v>14</v>
      </c>
      <c r="G490" s="1" t="s">
        <v>205</v>
      </c>
      <c r="H490" s="1" t="s">
        <v>3</v>
      </c>
      <c r="I490" s="1">
        <v>0</v>
      </c>
      <c r="J490" s="1"/>
      <c r="K490" s="1">
        <v>-1</v>
      </c>
      <c r="L490" s="1"/>
      <c r="M490" s="1" t="s">
        <v>3</v>
      </c>
      <c r="N490" s="1"/>
      <c r="O490" s="1"/>
      <c r="P490" s="1"/>
      <c r="Q490" s="1"/>
      <c r="R490" s="1"/>
      <c r="S490" s="1">
        <v>0</v>
      </c>
      <c r="T490" s="1"/>
      <c r="U490" s="1" t="s">
        <v>3</v>
      </c>
      <c r="V490" s="1">
        <v>0</v>
      </c>
      <c r="W490" s="1"/>
      <c r="X490" s="1"/>
      <c r="Y490" s="1"/>
      <c r="Z490" s="1"/>
      <c r="AA490" s="1"/>
      <c r="AB490" s="1" t="s">
        <v>3</v>
      </c>
      <c r="AC490" s="1" t="s">
        <v>3</v>
      </c>
      <c r="AD490" s="1" t="s">
        <v>3</v>
      </c>
      <c r="AE490" s="1" t="s">
        <v>3</v>
      </c>
      <c r="AF490" s="1" t="s">
        <v>3</v>
      </c>
      <c r="AG490" s="1" t="s">
        <v>3</v>
      </c>
      <c r="AH490" s="1"/>
      <c r="AI490" s="1"/>
      <c r="AJ490" s="1"/>
      <c r="AK490" s="1"/>
      <c r="AL490" s="1"/>
      <c r="AM490" s="1"/>
      <c r="AN490" s="1"/>
      <c r="AO490" s="1"/>
      <c r="AP490" s="1" t="s">
        <v>3</v>
      </c>
      <c r="AQ490" s="1" t="s">
        <v>3</v>
      </c>
      <c r="AR490" s="1" t="s">
        <v>3</v>
      </c>
      <c r="AS490" s="1"/>
      <c r="AT490" s="1"/>
      <c r="AU490" s="1"/>
      <c r="AV490" s="1"/>
      <c r="AW490" s="1"/>
      <c r="AX490" s="1"/>
      <c r="AY490" s="1"/>
      <c r="AZ490" s="1" t="s">
        <v>3</v>
      </c>
      <c r="BA490" s="1"/>
      <c r="BB490" s="1" t="s">
        <v>3</v>
      </c>
      <c r="BC490" s="1" t="s">
        <v>3</v>
      </c>
      <c r="BD490" s="1" t="s">
        <v>3</v>
      </c>
      <c r="BE490" s="1" t="s">
        <v>3</v>
      </c>
      <c r="BF490" s="1" t="s">
        <v>3</v>
      </c>
      <c r="BG490" s="1" t="s">
        <v>3</v>
      </c>
      <c r="BH490" s="1" t="s">
        <v>3</v>
      </c>
      <c r="BI490" s="1" t="s">
        <v>3</v>
      </c>
      <c r="BJ490" s="1" t="s">
        <v>3</v>
      </c>
      <c r="BK490" s="1" t="s">
        <v>3</v>
      </c>
      <c r="BL490" s="1" t="s">
        <v>3</v>
      </c>
      <c r="BM490" s="1" t="s">
        <v>3</v>
      </c>
      <c r="BN490" s="1" t="s">
        <v>3</v>
      </c>
      <c r="BO490" s="1" t="s">
        <v>3</v>
      </c>
      <c r="BP490" s="1" t="s">
        <v>3</v>
      </c>
      <c r="BQ490" s="1"/>
      <c r="BR490" s="1"/>
      <c r="BS490" s="1"/>
      <c r="BT490" s="1"/>
      <c r="BU490" s="1"/>
      <c r="BV490" s="1"/>
      <c r="BW490" s="1"/>
      <c r="BX490" s="1">
        <v>0</v>
      </c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>
        <v>0</v>
      </c>
    </row>
    <row r="492" spans="1:245" x14ac:dyDescent="0.2">
      <c r="A492" s="2">
        <v>52</v>
      </c>
      <c r="B492" s="2">
        <f t="shared" ref="B492:G492" si="242">B535</f>
        <v>1</v>
      </c>
      <c r="C492" s="2">
        <f t="shared" si="242"/>
        <v>5</v>
      </c>
      <c r="D492" s="2">
        <f t="shared" si="242"/>
        <v>490</v>
      </c>
      <c r="E492" s="2">
        <f t="shared" si="242"/>
        <v>0</v>
      </c>
      <c r="F492" s="2" t="str">
        <f t="shared" si="242"/>
        <v>Новый подраздел</v>
      </c>
      <c r="G492" s="2" t="str">
        <f t="shared" si="242"/>
        <v>Оборудование</v>
      </c>
      <c r="H492" s="2"/>
      <c r="I492" s="2"/>
      <c r="J492" s="2"/>
      <c r="K492" s="2"/>
      <c r="L492" s="2"/>
      <c r="M492" s="2"/>
      <c r="N492" s="2"/>
      <c r="O492" s="2">
        <f t="shared" ref="O492:AT492" si="243">O535</f>
        <v>49219.83</v>
      </c>
      <c r="P492" s="2">
        <f t="shared" si="243"/>
        <v>687.38</v>
      </c>
      <c r="Q492" s="2">
        <f t="shared" si="243"/>
        <v>39.090000000000003</v>
      </c>
      <c r="R492" s="2">
        <f t="shared" si="243"/>
        <v>24.79</v>
      </c>
      <c r="S492" s="2">
        <f t="shared" si="243"/>
        <v>48493.36</v>
      </c>
      <c r="T492" s="2">
        <f t="shared" si="243"/>
        <v>0</v>
      </c>
      <c r="U492" s="2">
        <f t="shared" si="243"/>
        <v>70.719999999999985</v>
      </c>
      <c r="V492" s="2">
        <f t="shared" si="243"/>
        <v>0</v>
      </c>
      <c r="W492" s="2">
        <f t="shared" si="243"/>
        <v>0</v>
      </c>
      <c r="X492" s="2">
        <f t="shared" si="243"/>
        <v>33945.370000000003</v>
      </c>
      <c r="Y492" s="2">
        <f t="shared" si="243"/>
        <v>4849.3500000000004</v>
      </c>
      <c r="Z492" s="2">
        <f t="shared" si="243"/>
        <v>0</v>
      </c>
      <c r="AA492" s="2">
        <f t="shared" si="243"/>
        <v>0</v>
      </c>
      <c r="AB492" s="2">
        <f t="shared" si="243"/>
        <v>49219.83</v>
      </c>
      <c r="AC492" s="2">
        <f t="shared" si="243"/>
        <v>687.38</v>
      </c>
      <c r="AD492" s="2">
        <f t="shared" si="243"/>
        <v>39.090000000000003</v>
      </c>
      <c r="AE492" s="2">
        <f t="shared" si="243"/>
        <v>24.79</v>
      </c>
      <c r="AF492" s="2">
        <f t="shared" si="243"/>
        <v>48493.36</v>
      </c>
      <c r="AG492" s="2">
        <f t="shared" si="243"/>
        <v>0</v>
      </c>
      <c r="AH492" s="2">
        <f t="shared" si="243"/>
        <v>70.719999999999985</v>
      </c>
      <c r="AI492" s="2">
        <f t="shared" si="243"/>
        <v>0</v>
      </c>
      <c r="AJ492" s="2">
        <f t="shared" si="243"/>
        <v>0</v>
      </c>
      <c r="AK492" s="2">
        <f t="shared" si="243"/>
        <v>33945.370000000003</v>
      </c>
      <c r="AL492" s="2">
        <f t="shared" si="243"/>
        <v>4849.3500000000004</v>
      </c>
      <c r="AM492" s="2">
        <f t="shared" si="243"/>
        <v>0</v>
      </c>
      <c r="AN492" s="2">
        <f t="shared" si="243"/>
        <v>0</v>
      </c>
      <c r="AO492" s="2">
        <f t="shared" si="243"/>
        <v>0</v>
      </c>
      <c r="AP492" s="2">
        <f t="shared" si="243"/>
        <v>0</v>
      </c>
      <c r="AQ492" s="2">
        <f t="shared" si="243"/>
        <v>0</v>
      </c>
      <c r="AR492" s="2">
        <f t="shared" si="243"/>
        <v>88041.32</v>
      </c>
      <c r="AS492" s="2">
        <f t="shared" si="243"/>
        <v>0</v>
      </c>
      <c r="AT492" s="2">
        <f t="shared" si="243"/>
        <v>0</v>
      </c>
      <c r="AU492" s="2">
        <f t="shared" ref="AU492:BZ492" si="244">AU535</f>
        <v>88041.32</v>
      </c>
      <c r="AV492" s="2">
        <f t="shared" si="244"/>
        <v>687.38</v>
      </c>
      <c r="AW492" s="2">
        <f t="shared" si="244"/>
        <v>687.38</v>
      </c>
      <c r="AX492" s="2">
        <f t="shared" si="244"/>
        <v>0</v>
      </c>
      <c r="AY492" s="2">
        <f t="shared" si="244"/>
        <v>687.38</v>
      </c>
      <c r="AZ492" s="2">
        <f t="shared" si="244"/>
        <v>0</v>
      </c>
      <c r="BA492" s="2">
        <f t="shared" si="244"/>
        <v>0</v>
      </c>
      <c r="BB492" s="2">
        <f t="shared" si="244"/>
        <v>0</v>
      </c>
      <c r="BC492" s="2">
        <f t="shared" si="244"/>
        <v>0</v>
      </c>
      <c r="BD492" s="2">
        <f t="shared" si="244"/>
        <v>0</v>
      </c>
      <c r="BE492" s="2">
        <f t="shared" si="244"/>
        <v>0</v>
      </c>
      <c r="BF492" s="2">
        <f t="shared" si="244"/>
        <v>0</v>
      </c>
      <c r="BG492" s="2">
        <f t="shared" si="244"/>
        <v>0</v>
      </c>
      <c r="BH492" s="2">
        <f t="shared" si="244"/>
        <v>0</v>
      </c>
      <c r="BI492" s="2">
        <f t="shared" si="244"/>
        <v>0</v>
      </c>
      <c r="BJ492" s="2">
        <f t="shared" si="244"/>
        <v>0</v>
      </c>
      <c r="BK492" s="2">
        <f t="shared" si="244"/>
        <v>0</v>
      </c>
      <c r="BL492" s="2">
        <f t="shared" si="244"/>
        <v>0</v>
      </c>
      <c r="BM492" s="2">
        <f t="shared" si="244"/>
        <v>0</v>
      </c>
      <c r="BN492" s="2">
        <f t="shared" si="244"/>
        <v>0</v>
      </c>
      <c r="BO492" s="2">
        <f t="shared" si="244"/>
        <v>0</v>
      </c>
      <c r="BP492" s="2">
        <f t="shared" si="244"/>
        <v>0</v>
      </c>
      <c r="BQ492" s="2">
        <f t="shared" si="244"/>
        <v>0</v>
      </c>
      <c r="BR492" s="2">
        <f t="shared" si="244"/>
        <v>0</v>
      </c>
      <c r="BS492" s="2">
        <f t="shared" si="244"/>
        <v>0</v>
      </c>
      <c r="BT492" s="2">
        <f t="shared" si="244"/>
        <v>0</v>
      </c>
      <c r="BU492" s="2">
        <f t="shared" si="244"/>
        <v>0</v>
      </c>
      <c r="BV492" s="2">
        <f t="shared" si="244"/>
        <v>0</v>
      </c>
      <c r="BW492" s="2">
        <f t="shared" si="244"/>
        <v>0</v>
      </c>
      <c r="BX492" s="2">
        <f t="shared" si="244"/>
        <v>0</v>
      </c>
      <c r="BY492" s="2">
        <f t="shared" si="244"/>
        <v>0</v>
      </c>
      <c r="BZ492" s="2">
        <f t="shared" si="244"/>
        <v>0</v>
      </c>
      <c r="CA492" s="2">
        <f t="shared" ref="CA492:DF492" si="245">CA535</f>
        <v>88041.32</v>
      </c>
      <c r="CB492" s="2">
        <f t="shared" si="245"/>
        <v>0</v>
      </c>
      <c r="CC492" s="2">
        <f t="shared" si="245"/>
        <v>0</v>
      </c>
      <c r="CD492" s="2">
        <f t="shared" si="245"/>
        <v>88041.32</v>
      </c>
      <c r="CE492" s="2">
        <f t="shared" si="245"/>
        <v>687.38</v>
      </c>
      <c r="CF492" s="2">
        <f t="shared" si="245"/>
        <v>687.38</v>
      </c>
      <c r="CG492" s="2">
        <f t="shared" si="245"/>
        <v>0</v>
      </c>
      <c r="CH492" s="2">
        <f t="shared" si="245"/>
        <v>687.38</v>
      </c>
      <c r="CI492" s="2">
        <f t="shared" si="245"/>
        <v>0</v>
      </c>
      <c r="CJ492" s="2">
        <f t="shared" si="245"/>
        <v>0</v>
      </c>
      <c r="CK492" s="2">
        <f t="shared" si="245"/>
        <v>0</v>
      </c>
      <c r="CL492" s="2">
        <f t="shared" si="245"/>
        <v>0</v>
      </c>
      <c r="CM492" s="2">
        <f t="shared" si="245"/>
        <v>0</v>
      </c>
      <c r="CN492" s="2">
        <f t="shared" si="245"/>
        <v>0</v>
      </c>
      <c r="CO492" s="2">
        <f t="shared" si="245"/>
        <v>0</v>
      </c>
      <c r="CP492" s="2">
        <f t="shared" si="245"/>
        <v>0</v>
      </c>
      <c r="CQ492" s="2">
        <f t="shared" si="245"/>
        <v>0</v>
      </c>
      <c r="CR492" s="2">
        <f t="shared" si="245"/>
        <v>0</v>
      </c>
      <c r="CS492" s="2">
        <f t="shared" si="245"/>
        <v>0</v>
      </c>
      <c r="CT492" s="2">
        <f t="shared" si="245"/>
        <v>0</v>
      </c>
      <c r="CU492" s="2">
        <f t="shared" si="245"/>
        <v>0</v>
      </c>
      <c r="CV492" s="2">
        <f t="shared" si="245"/>
        <v>0</v>
      </c>
      <c r="CW492" s="2">
        <f t="shared" si="245"/>
        <v>0</v>
      </c>
      <c r="CX492" s="2">
        <f t="shared" si="245"/>
        <v>0</v>
      </c>
      <c r="CY492" s="2">
        <f t="shared" si="245"/>
        <v>0</v>
      </c>
      <c r="CZ492" s="2">
        <f t="shared" si="245"/>
        <v>0</v>
      </c>
      <c r="DA492" s="2">
        <f t="shared" si="245"/>
        <v>0</v>
      </c>
      <c r="DB492" s="2">
        <f t="shared" si="245"/>
        <v>0</v>
      </c>
      <c r="DC492" s="2">
        <f t="shared" si="245"/>
        <v>0</v>
      </c>
      <c r="DD492" s="2">
        <f t="shared" si="245"/>
        <v>0</v>
      </c>
      <c r="DE492" s="2">
        <f t="shared" si="245"/>
        <v>0</v>
      </c>
      <c r="DF492" s="2">
        <f t="shared" si="245"/>
        <v>0</v>
      </c>
      <c r="DG492" s="3">
        <f t="shared" ref="DG492:EL492" si="246">DG535</f>
        <v>0</v>
      </c>
      <c r="DH492" s="3">
        <f t="shared" si="246"/>
        <v>0</v>
      </c>
      <c r="DI492" s="3">
        <f t="shared" si="246"/>
        <v>0</v>
      </c>
      <c r="DJ492" s="3">
        <f t="shared" si="246"/>
        <v>0</v>
      </c>
      <c r="DK492" s="3">
        <f t="shared" si="246"/>
        <v>0</v>
      </c>
      <c r="DL492" s="3">
        <f t="shared" si="246"/>
        <v>0</v>
      </c>
      <c r="DM492" s="3">
        <f t="shared" si="246"/>
        <v>0</v>
      </c>
      <c r="DN492" s="3">
        <f t="shared" si="246"/>
        <v>0</v>
      </c>
      <c r="DO492" s="3">
        <f t="shared" si="246"/>
        <v>0</v>
      </c>
      <c r="DP492" s="3">
        <f t="shared" si="246"/>
        <v>0</v>
      </c>
      <c r="DQ492" s="3">
        <f t="shared" si="246"/>
        <v>0</v>
      </c>
      <c r="DR492" s="3">
        <f t="shared" si="246"/>
        <v>0</v>
      </c>
      <c r="DS492" s="3">
        <f t="shared" si="246"/>
        <v>0</v>
      </c>
      <c r="DT492" s="3">
        <f t="shared" si="246"/>
        <v>0</v>
      </c>
      <c r="DU492" s="3">
        <f t="shared" si="246"/>
        <v>0</v>
      </c>
      <c r="DV492" s="3">
        <f t="shared" si="246"/>
        <v>0</v>
      </c>
      <c r="DW492" s="3">
        <f t="shared" si="246"/>
        <v>0</v>
      </c>
      <c r="DX492" s="3">
        <f t="shared" si="246"/>
        <v>0</v>
      </c>
      <c r="DY492" s="3">
        <f t="shared" si="246"/>
        <v>0</v>
      </c>
      <c r="DZ492" s="3">
        <f t="shared" si="246"/>
        <v>0</v>
      </c>
      <c r="EA492" s="3">
        <f t="shared" si="246"/>
        <v>0</v>
      </c>
      <c r="EB492" s="3">
        <f t="shared" si="246"/>
        <v>0</v>
      </c>
      <c r="EC492" s="3">
        <f t="shared" si="246"/>
        <v>0</v>
      </c>
      <c r="ED492" s="3">
        <f t="shared" si="246"/>
        <v>0</v>
      </c>
      <c r="EE492" s="3">
        <f t="shared" si="246"/>
        <v>0</v>
      </c>
      <c r="EF492" s="3">
        <f t="shared" si="246"/>
        <v>0</v>
      </c>
      <c r="EG492" s="3">
        <f t="shared" si="246"/>
        <v>0</v>
      </c>
      <c r="EH492" s="3">
        <f t="shared" si="246"/>
        <v>0</v>
      </c>
      <c r="EI492" s="3">
        <f t="shared" si="246"/>
        <v>0</v>
      </c>
      <c r="EJ492" s="3">
        <f t="shared" si="246"/>
        <v>0</v>
      </c>
      <c r="EK492" s="3">
        <f t="shared" si="246"/>
        <v>0</v>
      </c>
      <c r="EL492" s="3">
        <f t="shared" si="246"/>
        <v>0</v>
      </c>
      <c r="EM492" s="3">
        <f t="shared" ref="EM492:FR492" si="247">EM535</f>
        <v>0</v>
      </c>
      <c r="EN492" s="3">
        <f t="shared" si="247"/>
        <v>0</v>
      </c>
      <c r="EO492" s="3">
        <f t="shared" si="247"/>
        <v>0</v>
      </c>
      <c r="EP492" s="3">
        <f t="shared" si="247"/>
        <v>0</v>
      </c>
      <c r="EQ492" s="3">
        <f t="shared" si="247"/>
        <v>0</v>
      </c>
      <c r="ER492" s="3">
        <f t="shared" si="247"/>
        <v>0</v>
      </c>
      <c r="ES492" s="3">
        <f t="shared" si="247"/>
        <v>0</v>
      </c>
      <c r="ET492" s="3">
        <f t="shared" si="247"/>
        <v>0</v>
      </c>
      <c r="EU492" s="3">
        <f t="shared" si="247"/>
        <v>0</v>
      </c>
      <c r="EV492" s="3">
        <f t="shared" si="247"/>
        <v>0</v>
      </c>
      <c r="EW492" s="3">
        <f t="shared" si="247"/>
        <v>0</v>
      </c>
      <c r="EX492" s="3">
        <f t="shared" si="247"/>
        <v>0</v>
      </c>
      <c r="EY492" s="3">
        <f t="shared" si="247"/>
        <v>0</v>
      </c>
      <c r="EZ492" s="3">
        <f t="shared" si="247"/>
        <v>0</v>
      </c>
      <c r="FA492" s="3">
        <f t="shared" si="247"/>
        <v>0</v>
      </c>
      <c r="FB492" s="3">
        <f t="shared" si="247"/>
        <v>0</v>
      </c>
      <c r="FC492" s="3">
        <f t="shared" si="247"/>
        <v>0</v>
      </c>
      <c r="FD492" s="3">
        <f t="shared" si="247"/>
        <v>0</v>
      </c>
      <c r="FE492" s="3">
        <f t="shared" si="247"/>
        <v>0</v>
      </c>
      <c r="FF492" s="3">
        <f t="shared" si="247"/>
        <v>0</v>
      </c>
      <c r="FG492" s="3">
        <f t="shared" si="247"/>
        <v>0</v>
      </c>
      <c r="FH492" s="3">
        <f t="shared" si="247"/>
        <v>0</v>
      </c>
      <c r="FI492" s="3">
        <f t="shared" si="247"/>
        <v>0</v>
      </c>
      <c r="FJ492" s="3">
        <f t="shared" si="247"/>
        <v>0</v>
      </c>
      <c r="FK492" s="3">
        <f t="shared" si="247"/>
        <v>0</v>
      </c>
      <c r="FL492" s="3">
        <f t="shared" si="247"/>
        <v>0</v>
      </c>
      <c r="FM492" s="3">
        <f t="shared" si="247"/>
        <v>0</v>
      </c>
      <c r="FN492" s="3">
        <f t="shared" si="247"/>
        <v>0</v>
      </c>
      <c r="FO492" s="3">
        <f t="shared" si="247"/>
        <v>0</v>
      </c>
      <c r="FP492" s="3">
        <f t="shared" si="247"/>
        <v>0</v>
      </c>
      <c r="FQ492" s="3">
        <f t="shared" si="247"/>
        <v>0</v>
      </c>
      <c r="FR492" s="3">
        <f t="shared" si="247"/>
        <v>0</v>
      </c>
      <c r="FS492" s="3">
        <f t="shared" ref="FS492:GX492" si="248">FS535</f>
        <v>0</v>
      </c>
      <c r="FT492" s="3">
        <f t="shared" si="248"/>
        <v>0</v>
      </c>
      <c r="FU492" s="3">
        <f t="shared" si="248"/>
        <v>0</v>
      </c>
      <c r="FV492" s="3">
        <f t="shared" si="248"/>
        <v>0</v>
      </c>
      <c r="FW492" s="3">
        <f t="shared" si="248"/>
        <v>0</v>
      </c>
      <c r="FX492" s="3">
        <f t="shared" si="248"/>
        <v>0</v>
      </c>
      <c r="FY492" s="3">
        <f t="shared" si="248"/>
        <v>0</v>
      </c>
      <c r="FZ492" s="3">
        <f t="shared" si="248"/>
        <v>0</v>
      </c>
      <c r="GA492" s="3">
        <f t="shared" si="248"/>
        <v>0</v>
      </c>
      <c r="GB492" s="3">
        <f t="shared" si="248"/>
        <v>0</v>
      </c>
      <c r="GC492" s="3">
        <f t="shared" si="248"/>
        <v>0</v>
      </c>
      <c r="GD492" s="3">
        <f t="shared" si="248"/>
        <v>0</v>
      </c>
      <c r="GE492" s="3">
        <f t="shared" si="248"/>
        <v>0</v>
      </c>
      <c r="GF492" s="3">
        <f t="shared" si="248"/>
        <v>0</v>
      </c>
      <c r="GG492" s="3">
        <f t="shared" si="248"/>
        <v>0</v>
      </c>
      <c r="GH492" s="3">
        <f t="shared" si="248"/>
        <v>0</v>
      </c>
      <c r="GI492" s="3">
        <f t="shared" si="248"/>
        <v>0</v>
      </c>
      <c r="GJ492" s="3">
        <f t="shared" si="248"/>
        <v>0</v>
      </c>
      <c r="GK492" s="3">
        <f t="shared" si="248"/>
        <v>0</v>
      </c>
      <c r="GL492" s="3">
        <f t="shared" si="248"/>
        <v>0</v>
      </c>
      <c r="GM492" s="3">
        <f t="shared" si="248"/>
        <v>0</v>
      </c>
      <c r="GN492" s="3">
        <f t="shared" si="248"/>
        <v>0</v>
      </c>
      <c r="GO492" s="3">
        <f t="shared" si="248"/>
        <v>0</v>
      </c>
      <c r="GP492" s="3">
        <f t="shared" si="248"/>
        <v>0</v>
      </c>
      <c r="GQ492" s="3">
        <f t="shared" si="248"/>
        <v>0</v>
      </c>
      <c r="GR492" s="3">
        <f t="shared" si="248"/>
        <v>0</v>
      </c>
      <c r="GS492" s="3">
        <f t="shared" si="248"/>
        <v>0</v>
      </c>
      <c r="GT492" s="3">
        <f t="shared" si="248"/>
        <v>0</v>
      </c>
      <c r="GU492" s="3">
        <f t="shared" si="248"/>
        <v>0</v>
      </c>
      <c r="GV492" s="3">
        <f t="shared" si="248"/>
        <v>0</v>
      </c>
      <c r="GW492" s="3">
        <f t="shared" si="248"/>
        <v>0</v>
      </c>
      <c r="GX492" s="3">
        <f t="shared" si="248"/>
        <v>0</v>
      </c>
    </row>
    <row r="494" spans="1:245" x14ac:dyDescent="0.2">
      <c r="A494">
        <v>17</v>
      </c>
      <c r="B494">
        <v>1</v>
      </c>
      <c r="C494">
        <f>ROW(SmtRes!A40)</f>
        <v>40</v>
      </c>
      <c r="D494">
        <f>ROW(EtalonRes!A103)</f>
        <v>103</v>
      </c>
      <c r="E494" t="s">
        <v>3</v>
      </c>
      <c r="F494" t="s">
        <v>206</v>
      </c>
      <c r="G494" t="s">
        <v>207</v>
      </c>
      <c r="H494" t="s">
        <v>18</v>
      </c>
      <c r="I494">
        <v>1</v>
      </c>
      <c r="J494">
        <v>0</v>
      </c>
      <c r="K494">
        <v>1</v>
      </c>
      <c r="O494">
        <f t="shared" ref="O494:O533" si="249">ROUND(CP494,2)</f>
        <v>4371.8999999999996</v>
      </c>
      <c r="P494">
        <f t="shared" ref="P494:P533" si="250">ROUND(CQ494*I494,2)</f>
        <v>0</v>
      </c>
      <c r="Q494">
        <f t="shared" ref="Q494:Q533" si="251">ROUND(CR494*I494,2)</f>
        <v>0</v>
      </c>
      <c r="R494">
        <f t="shared" ref="R494:R533" si="252">ROUND(CS494*I494,2)</f>
        <v>0</v>
      </c>
      <c r="S494">
        <f t="shared" ref="S494:S533" si="253">ROUND(CT494*I494,2)</f>
        <v>4371.8999999999996</v>
      </c>
      <c r="T494">
        <f t="shared" ref="T494:T533" si="254">ROUND(CU494*I494,2)</f>
        <v>0</v>
      </c>
      <c r="U494">
        <f t="shared" ref="U494:U533" si="255">CV494*I494</f>
        <v>7.08</v>
      </c>
      <c r="V494">
        <f t="shared" ref="V494:V533" si="256">CW494*I494</f>
        <v>0</v>
      </c>
      <c r="W494">
        <f t="shared" ref="W494:W533" si="257">ROUND(CX494*I494,2)</f>
        <v>0</v>
      </c>
      <c r="X494">
        <f t="shared" ref="X494:X533" si="258">ROUND(CY494,2)</f>
        <v>3060.33</v>
      </c>
      <c r="Y494">
        <f t="shared" ref="Y494:Y533" si="259">ROUND(CZ494,2)</f>
        <v>437.19</v>
      </c>
      <c r="AA494">
        <v>-1</v>
      </c>
      <c r="AB494">
        <f t="shared" ref="AB494:AB533" si="260">ROUND((AC494+AD494+AF494),6)</f>
        <v>4371.8999999999996</v>
      </c>
      <c r="AC494">
        <f>ROUND(((ES494*118)),6)</f>
        <v>0</v>
      </c>
      <c r="AD494">
        <f>ROUND(((((ET494*118))-((EU494*118)))+AE494),6)</f>
        <v>0</v>
      </c>
      <c r="AE494">
        <f>ROUND(((EU494*118)),6)</f>
        <v>0</v>
      </c>
      <c r="AF494">
        <f>ROUND(((EV494*118)),6)</f>
        <v>4371.8999999999996</v>
      </c>
      <c r="AG494">
        <f t="shared" ref="AG494:AG533" si="261">ROUND((AP494),6)</f>
        <v>0</v>
      </c>
      <c r="AH494">
        <f>((EW494*118))</f>
        <v>7.08</v>
      </c>
      <c r="AI494">
        <f>((EX494*118))</f>
        <v>0</v>
      </c>
      <c r="AJ494">
        <f t="shared" ref="AJ494:AJ533" si="262">(AS494)</f>
        <v>0</v>
      </c>
      <c r="AK494">
        <v>37.049999999999997</v>
      </c>
      <c r="AL494">
        <v>0</v>
      </c>
      <c r="AM494">
        <v>0</v>
      </c>
      <c r="AN494">
        <v>0</v>
      </c>
      <c r="AO494">
        <v>37.049999999999997</v>
      </c>
      <c r="AP494">
        <v>0</v>
      </c>
      <c r="AQ494">
        <v>0.06</v>
      </c>
      <c r="AR494">
        <v>0</v>
      </c>
      <c r="AS494">
        <v>0</v>
      </c>
      <c r="AT494">
        <v>70</v>
      </c>
      <c r="AU494">
        <v>10</v>
      </c>
      <c r="AV494">
        <v>1</v>
      </c>
      <c r="AW494">
        <v>1</v>
      </c>
      <c r="AZ494">
        <v>1</v>
      </c>
      <c r="BA494">
        <v>1</v>
      </c>
      <c r="BB494">
        <v>1</v>
      </c>
      <c r="BC494">
        <v>1</v>
      </c>
      <c r="BD494" t="s">
        <v>3</v>
      </c>
      <c r="BE494" t="s">
        <v>3</v>
      </c>
      <c r="BF494" t="s">
        <v>3</v>
      </c>
      <c r="BG494" t="s">
        <v>3</v>
      </c>
      <c r="BH494">
        <v>0</v>
      </c>
      <c r="BI494">
        <v>4</v>
      </c>
      <c r="BJ494" t="s">
        <v>208</v>
      </c>
      <c r="BM494">
        <v>0</v>
      </c>
      <c r="BN494">
        <v>0</v>
      </c>
      <c r="BO494" t="s">
        <v>3</v>
      </c>
      <c r="BP494">
        <v>0</v>
      </c>
      <c r="BQ494">
        <v>1</v>
      </c>
      <c r="BR494">
        <v>0</v>
      </c>
      <c r="BS494">
        <v>1</v>
      </c>
      <c r="BT494">
        <v>1</v>
      </c>
      <c r="BU494">
        <v>1</v>
      </c>
      <c r="BV494">
        <v>1</v>
      </c>
      <c r="BW494">
        <v>1</v>
      </c>
      <c r="BX494">
        <v>1</v>
      </c>
      <c r="BY494" t="s">
        <v>3</v>
      </c>
      <c r="BZ494">
        <v>70</v>
      </c>
      <c r="CA494">
        <v>10</v>
      </c>
      <c r="CB494" t="s">
        <v>3</v>
      </c>
      <c r="CE494">
        <v>0</v>
      </c>
      <c r="CF494">
        <v>0</v>
      </c>
      <c r="CG494">
        <v>0</v>
      </c>
      <c r="CM494">
        <v>0</v>
      </c>
      <c r="CN494" t="s">
        <v>3</v>
      </c>
      <c r="CO494">
        <v>0</v>
      </c>
      <c r="CP494">
        <f t="shared" ref="CP494:CP533" si="263">(P494+Q494+S494)</f>
        <v>4371.8999999999996</v>
      </c>
      <c r="CQ494">
        <f t="shared" ref="CQ494:CQ533" si="264">(AC494*BC494*AW494)</f>
        <v>0</v>
      </c>
      <c r="CR494">
        <f>(((((ET494*118))*BB494-((EU494*118))*BS494)+AE494*BS494)*AV494)</f>
        <v>0</v>
      </c>
      <c r="CS494">
        <f t="shared" ref="CS494:CS533" si="265">(AE494*BS494*AV494)</f>
        <v>0</v>
      </c>
      <c r="CT494">
        <f t="shared" ref="CT494:CT533" si="266">(AF494*BA494*AV494)</f>
        <v>4371.8999999999996</v>
      </c>
      <c r="CU494">
        <f t="shared" ref="CU494:CU533" si="267">AG494</f>
        <v>0</v>
      </c>
      <c r="CV494">
        <f t="shared" ref="CV494:CV533" si="268">(AH494*AV494)</f>
        <v>7.08</v>
      </c>
      <c r="CW494">
        <f t="shared" ref="CW494:CW533" si="269">AI494</f>
        <v>0</v>
      </c>
      <c r="CX494">
        <f t="shared" ref="CX494:CX533" si="270">AJ494</f>
        <v>0</v>
      </c>
      <c r="CY494">
        <f t="shared" ref="CY494:CY533" si="271">((S494*BZ494)/100)</f>
        <v>3060.33</v>
      </c>
      <c r="CZ494">
        <f t="shared" ref="CZ494:CZ533" si="272">((S494*CA494)/100)</f>
        <v>437.19</v>
      </c>
      <c r="DC494" t="s">
        <v>3</v>
      </c>
      <c r="DD494" t="s">
        <v>209</v>
      </c>
      <c r="DE494" t="s">
        <v>209</v>
      </c>
      <c r="DF494" t="s">
        <v>209</v>
      </c>
      <c r="DG494" t="s">
        <v>209</v>
      </c>
      <c r="DH494" t="s">
        <v>3</v>
      </c>
      <c r="DI494" t="s">
        <v>209</v>
      </c>
      <c r="DJ494" t="s">
        <v>209</v>
      </c>
      <c r="DK494" t="s">
        <v>3</v>
      </c>
      <c r="DL494" t="s">
        <v>3</v>
      </c>
      <c r="DM494" t="s">
        <v>3</v>
      </c>
      <c r="DN494">
        <v>0</v>
      </c>
      <c r="DO494">
        <v>0</v>
      </c>
      <c r="DP494">
        <v>1</v>
      </c>
      <c r="DQ494">
        <v>1</v>
      </c>
      <c r="DU494">
        <v>16987630</v>
      </c>
      <c r="DV494" t="s">
        <v>18</v>
      </c>
      <c r="DW494" t="s">
        <v>18</v>
      </c>
      <c r="DX494">
        <v>1</v>
      </c>
      <c r="DZ494" t="s">
        <v>3</v>
      </c>
      <c r="EA494" t="s">
        <v>3</v>
      </c>
      <c r="EB494" t="s">
        <v>3</v>
      </c>
      <c r="EC494" t="s">
        <v>3</v>
      </c>
      <c r="EE494">
        <v>1441815344</v>
      </c>
      <c r="EF494">
        <v>1</v>
      </c>
      <c r="EG494" t="s">
        <v>21</v>
      </c>
      <c r="EH494">
        <v>0</v>
      </c>
      <c r="EI494" t="s">
        <v>3</v>
      </c>
      <c r="EJ494">
        <v>4</v>
      </c>
      <c r="EK494">
        <v>0</v>
      </c>
      <c r="EL494" t="s">
        <v>22</v>
      </c>
      <c r="EM494" t="s">
        <v>23</v>
      </c>
      <c r="EO494" t="s">
        <v>3</v>
      </c>
      <c r="EQ494">
        <v>1024</v>
      </c>
      <c r="ER494">
        <v>37.049999999999997</v>
      </c>
      <c r="ES494">
        <v>0</v>
      </c>
      <c r="ET494">
        <v>0</v>
      </c>
      <c r="EU494">
        <v>0</v>
      </c>
      <c r="EV494">
        <v>37.049999999999997</v>
      </c>
      <c r="EW494">
        <v>0.06</v>
      </c>
      <c r="EX494">
        <v>0</v>
      </c>
      <c r="EY494">
        <v>0</v>
      </c>
      <c r="FQ494">
        <v>0</v>
      </c>
      <c r="FR494">
        <f t="shared" ref="FR494:FR533" si="273">ROUND(IF(BI494=3,GM494,0),2)</f>
        <v>0</v>
      </c>
      <c r="FS494">
        <v>0</v>
      </c>
      <c r="FX494">
        <v>70</v>
      </c>
      <c r="FY494">
        <v>10</v>
      </c>
      <c r="GA494" t="s">
        <v>3</v>
      </c>
      <c r="GD494">
        <v>0</v>
      </c>
      <c r="GF494">
        <v>57174013</v>
      </c>
      <c r="GG494">
        <v>2</v>
      </c>
      <c r="GH494">
        <v>1</v>
      </c>
      <c r="GI494">
        <v>-2</v>
      </c>
      <c r="GJ494">
        <v>0</v>
      </c>
      <c r="GK494">
        <f>ROUND(R494*(R12)/100,2)</f>
        <v>0</v>
      </c>
      <c r="GL494">
        <f t="shared" ref="GL494:GL533" si="274">ROUND(IF(AND(BH494=3,BI494=3,FS494&lt;&gt;0),P494,0),2)</f>
        <v>0</v>
      </c>
      <c r="GM494">
        <f t="shared" ref="GM494:GM533" si="275">ROUND(O494+X494+Y494+GK494,2)+GX494</f>
        <v>7869.42</v>
      </c>
      <c r="GN494">
        <f t="shared" ref="GN494:GN533" si="276">IF(OR(BI494=0,BI494=1),GM494-GX494,0)</f>
        <v>0</v>
      </c>
      <c r="GO494">
        <f t="shared" ref="GO494:GO533" si="277">IF(BI494=2,GM494-GX494,0)</f>
        <v>0</v>
      </c>
      <c r="GP494">
        <f t="shared" ref="GP494:GP533" si="278">IF(BI494=4,GM494-GX494,0)</f>
        <v>7869.42</v>
      </c>
      <c r="GR494">
        <v>0</v>
      </c>
      <c r="GS494">
        <v>3</v>
      </c>
      <c r="GT494">
        <v>0</v>
      </c>
      <c r="GU494" t="s">
        <v>3</v>
      </c>
      <c r="GV494">
        <f t="shared" ref="GV494:GV533" si="279">ROUND((GT494),6)</f>
        <v>0</v>
      </c>
      <c r="GW494">
        <v>1</v>
      </c>
      <c r="GX494">
        <f t="shared" ref="GX494:GX533" si="280">ROUND(HC494*I494,2)</f>
        <v>0</v>
      </c>
      <c r="HA494">
        <v>0</v>
      </c>
      <c r="HB494">
        <v>0</v>
      </c>
      <c r="HC494">
        <f t="shared" ref="HC494:HC533" si="281">GV494*GW494</f>
        <v>0</v>
      </c>
      <c r="HE494" t="s">
        <v>3</v>
      </c>
      <c r="HF494" t="s">
        <v>3</v>
      </c>
      <c r="HM494" t="s">
        <v>3</v>
      </c>
      <c r="HN494" t="s">
        <v>3</v>
      </c>
      <c r="HO494" t="s">
        <v>3</v>
      </c>
      <c r="HP494" t="s">
        <v>3</v>
      </c>
      <c r="HQ494" t="s">
        <v>3</v>
      </c>
      <c r="IK494">
        <v>0</v>
      </c>
    </row>
    <row r="495" spans="1:245" x14ac:dyDescent="0.2">
      <c r="A495">
        <v>17</v>
      </c>
      <c r="B495">
        <v>1</v>
      </c>
      <c r="C495">
        <f>ROW(SmtRes!A42)</f>
        <v>42</v>
      </c>
      <c r="D495">
        <f>ROW(EtalonRes!A105)</f>
        <v>105</v>
      </c>
      <c r="E495" t="s">
        <v>3</v>
      </c>
      <c r="F495" t="s">
        <v>210</v>
      </c>
      <c r="G495" t="s">
        <v>211</v>
      </c>
      <c r="H495" t="s">
        <v>18</v>
      </c>
      <c r="I495">
        <v>1</v>
      </c>
      <c r="J495">
        <v>0</v>
      </c>
      <c r="K495">
        <v>1</v>
      </c>
      <c r="O495">
        <f t="shared" si="249"/>
        <v>500.28</v>
      </c>
      <c r="P495">
        <f t="shared" si="250"/>
        <v>6.28</v>
      </c>
      <c r="Q495">
        <f t="shared" si="251"/>
        <v>0</v>
      </c>
      <c r="R495">
        <f t="shared" si="252"/>
        <v>0</v>
      </c>
      <c r="S495">
        <f t="shared" si="253"/>
        <v>494</v>
      </c>
      <c r="T495">
        <f t="shared" si="254"/>
        <v>0</v>
      </c>
      <c r="U495">
        <f t="shared" si="255"/>
        <v>0.8</v>
      </c>
      <c r="V495">
        <f t="shared" si="256"/>
        <v>0</v>
      </c>
      <c r="W495">
        <f t="shared" si="257"/>
        <v>0</v>
      </c>
      <c r="X495">
        <f t="shared" si="258"/>
        <v>345.8</v>
      </c>
      <c r="Y495">
        <f t="shared" si="259"/>
        <v>49.4</v>
      </c>
      <c r="AA495">
        <v>-1</v>
      </c>
      <c r="AB495">
        <f t="shared" si="260"/>
        <v>500.28</v>
      </c>
      <c r="AC495">
        <f>ROUND(((ES495*4)),6)</f>
        <v>6.28</v>
      </c>
      <c r="AD495">
        <f>ROUND(((((ET495*4))-((EU495*4)))+AE495),6)</f>
        <v>0</v>
      </c>
      <c r="AE495">
        <f>ROUND(((EU495*4)),6)</f>
        <v>0</v>
      </c>
      <c r="AF495">
        <f>ROUND(((EV495*4)),6)</f>
        <v>494</v>
      </c>
      <c r="AG495">
        <f t="shared" si="261"/>
        <v>0</v>
      </c>
      <c r="AH495">
        <f>((EW495*4))</f>
        <v>0.8</v>
      </c>
      <c r="AI495">
        <f>((EX495*4))</f>
        <v>0</v>
      </c>
      <c r="AJ495">
        <f t="shared" si="262"/>
        <v>0</v>
      </c>
      <c r="AK495">
        <v>125.07</v>
      </c>
      <c r="AL495">
        <v>1.57</v>
      </c>
      <c r="AM495">
        <v>0</v>
      </c>
      <c r="AN495">
        <v>0</v>
      </c>
      <c r="AO495">
        <v>123.5</v>
      </c>
      <c r="AP495">
        <v>0</v>
      </c>
      <c r="AQ495">
        <v>0.2</v>
      </c>
      <c r="AR495">
        <v>0</v>
      </c>
      <c r="AS495">
        <v>0</v>
      </c>
      <c r="AT495">
        <v>70</v>
      </c>
      <c r="AU495">
        <v>10</v>
      </c>
      <c r="AV495">
        <v>1</v>
      </c>
      <c r="AW495">
        <v>1</v>
      </c>
      <c r="AZ495">
        <v>1</v>
      </c>
      <c r="BA495">
        <v>1</v>
      </c>
      <c r="BB495">
        <v>1</v>
      </c>
      <c r="BC495">
        <v>1</v>
      </c>
      <c r="BD495" t="s">
        <v>3</v>
      </c>
      <c r="BE495" t="s">
        <v>3</v>
      </c>
      <c r="BF495" t="s">
        <v>3</v>
      </c>
      <c r="BG495" t="s">
        <v>3</v>
      </c>
      <c r="BH495">
        <v>0</v>
      </c>
      <c r="BI495">
        <v>4</v>
      </c>
      <c r="BJ495" t="s">
        <v>212</v>
      </c>
      <c r="BM495">
        <v>0</v>
      </c>
      <c r="BN495">
        <v>0</v>
      </c>
      <c r="BO495" t="s">
        <v>3</v>
      </c>
      <c r="BP495">
        <v>0</v>
      </c>
      <c r="BQ495">
        <v>1</v>
      </c>
      <c r="BR495">
        <v>0</v>
      </c>
      <c r="BS495">
        <v>1</v>
      </c>
      <c r="BT495">
        <v>1</v>
      </c>
      <c r="BU495">
        <v>1</v>
      </c>
      <c r="BV495">
        <v>1</v>
      </c>
      <c r="BW495">
        <v>1</v>
      </c>
      <c r="BX495">
        <v>1</v>
      </c>
      <c r="BY495" t="s">
        <v>3</v>
      </c>
      <c r="BZ495">
        <v>70</v>
      </c>
      <c r="CA495">
        <v>10</v>
      </c>
      <c r="CB495" t="s">
        <v>3</v>
      </c>
      <c r="CE495">
        <v>0</v>
      </c>
      <c r="CF495">
        <v>0</v>
      </c>
      <c r="CG495">
        <v>0</v>
      </c>
      <c r="CM495">
        <v>0</v>
      </c>
      <c r="CN495" t="s">
        <v>3</v>
      </c>
      <c r="CO495">
        <v>0</v>
      </c>
      <c r="CP495">
        <f t="shared" si="263"/>
        <v>500.28</v>
      </c>
      <c r="CQ495">
        <f t="shared" si="264"/>
        <v>6.28</v>
      </c>
      <c r="CR495">
        <f>(((((ET495*4))*BB495-((EU495*4))*BS495)+AE495*BS495)*AV495)</f>
        <v>0</v>
      </c>
      <c r="CS495">
        <f t="shared" si="265"/>
        <v>0</v>
      </c>
      <c r="CT495">
        <f t="shared" si="266"/>
        <v>494</v>
      </c>
      <c r="CU495">
        <f t="shared" si="267"/>
        <v>0</v>
      </c>
      <c r="CV495">
        <f t="shared" si="268"/>
        <v>0.8</v>
      </c>
      <c r="CW495">
        <f t="shared" si="269"/>
        <v>0</v>
      </c>
      <c r="CX495">
        <f t="shared" si="270"/>
        <v>0</v>
      </c>
      <c r="CY495">
        <f t="shared" si="271"/>
        <v>345.8</v>
      </c>
      <c r="CZ495">
        <f t="shared" si="272"/>
        <v>49.4</v>
      </c>
      <c r="DC495" t="s">
        <v>3</v>
      </c>
      <c r="DD495" t="s">
        <v>28</v>
      </c>
      <c r="DE495" t="s">
        <v>28</v>
      </c>
      <c r="DF495" t="s">
        <v>28</v>
      </c>
      <c r="DG495" t="s">
        <v>28</v>
      </c>
      <c r="DH495" t="s">
        <v>3</v>
      </c>
      <c r="DI495" t="s">
        <v>28</v>
      </c>
      <c r="DJ495" t="s">
        <v>28</v>
      </c>
      <c r="DK495" t="s">
        <v>3</v>
      </c>
      <c r="DL495" t="s">
        <v>3</v>
      </c>
      <c r="DM495" t="s">
        <v>3</v>
      </c>
      <c r="DN495">
        <v>0</v>
      </c>
      <c r="DO495">
        <v>0</v>
      </c>
      <c r="DP495">
        <v>1</v>
      </c>
      <c r="DQ495">
        <v>1</v>
      </c>
      <c r="DU495">
        <v>16987630</v>
      </c>
      <c r="DV495" t="s">
        <v>18</v>
      </c>
      <c r="DW495" t="s">
        <v>18</v>
      </c>
      <c r="DX495">
        <v>1</v>
      </c>
      <c r="DZ495" t="s">
        <v>3</v>
      </c>
      <c r="EA495" t="s">
        <v>3</v>
      </c>
      <c r="EB495" t="s">
        <v>3</v>
      </c>
      <c r="EC495" t="s">
        <v>3</v>
      </c>
      <c r="EE495">
        <v>1441815344</v>
      </c>
      <c r="EF495">
        <v>1</v>
      </c>
      <c r="EG495" t="s">
        <v>21</v>
      </c>
      <c r="EH495">
        <v>0</v>
      </c>
      <c r="EI495" t="s">
        <v>3</v>
      </c>
      <c r="EJ495">
        <v>4</v>
      </c>
      <c r="EK495">
        <v>0</v>
      </c>
      <c r="EL495" t="s">
        <v>22</v>
      </c>
      <c r="EM495" t="s">
        <v>23</v>
      </c>
      <c r="EO495" t="s">
        <v>3</v>
      </c>
      <c r="EQ495">
        <v>1024</v>
      </c>
      <c r="ER495">
        <v>125.07</v>
      </c>
      <c r="ES495">
        <v>1.57</v>
      </c>
      <c r="ET495">
        <v>0</v>
      </c>
      <c r="EU495">
        <v>0</v>
      </c>
      <c r="EV495">
        <v>123.5</v>
      </c>
      <c r="EW495">
        <v>0.2</v>
      </c>
      <c r="EX495">
        <v>0</v>
      </c>
      <c r="EY495">
        <v>0</v>
      </c>
      <c r="FQ495">
        <v>0</v>
      </c>
      <c r="FR495">
        <f t="shared" si="273"/>
        <v>0</v>
      </c>
      <c r="FS495">
        <v>0</v>
      </c>
      <c r="FX495">
        <v>70</v>
      </c>
      <c r="FY495">
        <v>10</v>
      </c>
      <c r="GA495" t="s">
        <v>3</v>
      </c>
      <c r="GD495">
        <v>0</v>
      </c>
      <c r="GF495">
        <v>2430549</v>
      </c>
      <c r="GG495">
        <v>2</v>
      </c>
      <c r="GH495">
        <v>1</v>
      </c>
      <c r="GI495">
        <v>-2</v>
      </c>
      <c r="GJ495">
        <v>0</v>
      </c>
      <c r="GK495">
        <f>ROUND(R495*(R12)/100,2)</f>
        <v>0</v>
      </c>
      <c r="GL495">
        <f t="shared" si="274"/>
        <v>0</v>
      </c>
      <c r="GM495">
        <f t="shared" si="275"/>
        <v>895.48</v>
      </c>
      <c r="GN495">
        <f t="shared" si="276"/>
        <v>0</v>
      </c>
      <c r="GO495">
        <f t="shared" si="277"/>
        <v>0</v>
      </c>
      <c r="GP495">
        <f t="shared" si="278"/>
        <v>895.48</v>
      </c>
      <c r="GR495">
        <v>0</v>
      </c>
      <c r="GS495">
        <v>3</v>
      </c>
      <c r="GT495">
        <v>0</v>
      </c>
      <c r="GU495" t="s">
        <v>3</v>
      </c>
      <c r="GV495">
        <f t="shared" si="279"/>
        <v>0</v>
      </c>
      <c r="GW495">
        <v>1</v>
      </c>
      <c r="GX495">
        <f t="shared" si="280"/>
        <v>0</v>
      </c>
      <c r="HA495">
        <v>0</v>
      </c>
      <c r="HB495">
        <v>0</v>
      </c>
      <c r="HC495">
        <f t="shared" si="281"/>
        <v>0</v>
      </c>
      <c r="HE495" t="s">
        <v>3</v>
      </c>
      <c r="HF495" t="s">
        <v>3</v>
      </c>
      <c r="HM495" t="s">
        <v>3</v>
      </c>
      <c r="HN495" t="s">
        <v>3</v>
      </c>
      <c r="HO495" t="s">
        <v>3</v>
      </c>
      <c r="HP495" t="s">
        <v>3</v>
      </c>
      <c r="HQ495" t="s">
        <v>3</v>
      </c>
      <c r="IK495">
        <v>0</v>
      </c>
    </row>
    <row r="496" spans="1:245" x14ac:dyDescent="0.2">
      <c r="A496">
        <v>17</v>
      </c>
      <c r="B496">
        <v>1</v>
      </c>
      <c r="D496">
        <f>ROW(EtalonRes!A106)</f>
        <v>106</v>
      </c>
      <c r="E496" t="s">
        <v>3</v>
      </c>
      <c r="F496" t="s">
        <v>213</v>
      </c>
      <c r="G496" t="s">
        <v>214</v>
      </c>
      <c r="H496" t="s">
        <v>18</v>
      </c>
      <c r="I496">
        <v>1</v>
      </c>
      <c r="J496">
        <v>0</v>
      </c>
      <c r="K496">
        <v>1</v>
      </c>
      <c r="O496">
        <f t="shared" si="249"/>
        <v>14314.15</v>
      </c>
      <c r="P496">
        <f t="shared" si="250"/>
        <v>0</v>
      </c>
      <c r="Q496">
        <f t="shared" si="251"/>
        <v>0</v>
      </c>
      <c r="R496">
        <f t="shared" si="252"/>
        <v>0</v>
      </c>
      <c r="S496">
        <f t="shared" si="253"/>
        <v>14314.15</v>
      </c>
      <c r="T496">
        <f t="shared" si="254"/>
        <v>0</v>
      </c>
      <c r="U496">
        <f t="shared" si="255"/>
        <v>28.240000000000002</v>
      </c>
      <c r="V496">
        <f t="shared" si="256"/>
        <v>0</v>
      </c>
      <c r="W496">
        <f t="shared" si="257"/>
        <v>0</v>
      </c>
      <c r="X496">
        <f t="shared" si="258"/>
        <v>10019.91</v>
      </c>
      <c r="Y496">
        <f t="shared" si="259"/>
        <v>1431.42</v>
      </c>
      <c r="AA496">
        <v>-1</v>
      </c>
      <c r="AB496">
        <f t="shared" si="260"/>
        <v>14314.15</v>
      </c>
      <c r="AC496">
        <f>ROUND(((ES496*353)),6)</f>
        <v>0</v>
      </c>
      <c r="AD496">
        <f>ROUND(((((ET496*353))-((EU496*353)))+AE496),6)</f>
        <v>0</v>
      </c>
      <c r="AE496">
        <f>ROUND(((EU496*353)),6)</f>
        <v>0</v>
      </c>
      <c r="AF496">
        <f>ROUND(((EV496*353)),6)</f>
        <v>14314.15</v>
      </c>
      <c r="AG496">
        <f t="shared" si="261"/>
        <v>0</v>
      </c>
      <c r="AH496">
        <f>((EW496*353))</f>
        <v>28.240000000000002</v>
      </c>
      <c r="AI496">
        <f>((EX496*353))</f>
        <v>0</v>
      </c>
      <c r="AJ496">
        <f t="shared" si="262"/>
        <v>0</v>
      </c>
      <c r="AK496">
        <v>40.549999999999997</v>
      </c>
      <c r="AL496">
        <v>0</v>
      </c>
      <c r="AM496">
        <v>0</v>
      </c>
      <c r="AN496">
        <v>0</v>
      </c>
      <c r="AO496">
        <v>40.549999999999997</v>
      </c>
      <c r="AP496">
        <v>0</v>
      </c>
      <c r="AQ496">
        <v>0.08</v>
      </c>
      <c r="AR496">
        <v>0</v>
      </c>
      <c r="AS496">
        <v>0</v>
      </c>
      <c r="AT496">
        <v>70</v>
      </c>
      <c r="AU496">
        <v>10</v>
      </c>
      <c r="AV496">
        <v>1</v>
      </c>
      <c r="AW496">
        <v>1</v>
      </c>
      <c r="AZ496">
        <v>1</v>
      </c>
      <c r="BA496">
        <v>1</v>
      </c>
      <c r="BB496">
        <v>1</v>
      </c>
      <c r="BC496">
        <v>1</v>
      </c>
      <c r="BD496" t="s">
        <v>3</v>
      </c>
      <c r="BE496" t="s">
        <v>3</v>
      </c>
      <c r="BF496" t="s">
        <v>3</v>
      </c>
      <c r="BG496" t="s">
        <v>3</v>
      </c>
      <c r="BH496">
        <v>0</v>
      </c>
      <c r="BI496">
        <v>4</v>
      </c>
      <c r="BJ496" t="s">
        <v>215</v>
      </c>
      <c r="BM496">
        <v>0</v>
      </c>
      <c r="BN496">
        <v>0</v>
      </c>
      <c r="BO496" t="s">
        <v>3</v>
      </c>
      <c r="BP496">
        <v>0</v>
      </c>
      <c r="BQ496">
        <v>1</v>
      </c>
      <c r="BR496">
        <v>0</v>
      </c>
      <c r="BS496">
        <v>1</v>
      </c>
      <c r="BT496">
        <v>1</v>
      </c>
      <c r="BU496">
        <v>1</v>
      </c>
      <c r="BV496">
        <v>1</v>
      </c>
      <c r="BW496">
        <v>1</v>
      </c>
      <c r="BX496">
        <v>1</v>
      </c>
      <c r="BY496" t="s">
        <v>3</v>
      </c>
      <c r="BZ496">
        <v>70</v>
      </c>
      <c r="CA496">
        <v>10</v>
      </c>
      <c r="CB496" t="s">
        <v>3</v>
      </c>
      <c r="CE496">
        <v>0</v>
      </c>
      <c r="CF496">
        <v>0</v>
      </c>
      <c r="CG496">
        <v>0</v>
      </c>
      <c r="CM496">
        <v>0</v>
      </c>
      <c r="CN496" t="s">
        <v>3</v>
      </c>
      <c r="CO496">
        <v>0</v>
      </c>
      <c r="CP496">
        <f t="shared" si="263"/>
        <v>14314.15</v>
      </c>
      <c r="CQ496">
        <f t="shared" si="264"/>
        <v>0</v>
      </c>
      <c r="CR496">
        <f>(((((ET496*353))*BB496-((EU496*353))*BS496)+AE496*BS496)*AV496)</f>
        <v>0</v>
      </c>
      <c r="CS496">
        <f t="shared" si="265"/>
        <v>0</v>
      </c>
      <c r="CT496">
        <f t="shared" si="266"/>
        <v>14314.15</v>
      </c>
      <c r="CU496">
        <f t="shared" si="267"/>
        <v>0</v>
      </c>
      <c r="CV496">
        <f t="shared" si="268"/>
        <v>28.240000000000002</v>
      </c>
      <c r="CW496">
        <f t="shared" si="269"/>
        <v>0</v>
      </c>
      <c r="CX496">
        <f t="shared" si="270"/>
        <v>0</v>
      </c>
      <c r="CY496">
        <f t="shared" si="271"/>
        <v>10019.905000000001</v>
      </c>
      <c r="CZ496">
        <f t="shared" si="272"/>
        <v>1431.415</v>
      </c>
      <c r="DC496" t="s">
        <v>3</v>
      </c>
      <c r="DD496" t="s">
        <v>216</v>
      </c>
      <c r="DE496" t="s">
        <v>216</v>
      </c>
      <c r="DF496" t="s">
        <v>216</v>
      </c>
      <c r="DG496" t="s">
        <v>216</v>
      </c>
      <c r="DH496" t="s">
        <v>3</v>
      </c>
      <c r="DI496" t="s">
        <v>216</v>
      </c>
      <c r="DJ496" t="s">
        <v>216</v>
      </c>
      <c r="DK496" t="s">
        <v>3</v>
      </c>
      <c r="DL496" t="s">
        <v>3</v>
      </c>
      <c r="DM496" t="s">
        <v>3</v>
      </c>
      <c r="DN496">
        <v>0</v>
      </c>
      <c r="DO496">
        <v>0</v>
      </c>
      <c r="DP496">
        <v>1</v>
      </c>
      <c r="DQ496">
        <v>1</v>
      </c>
      <c r="DU496">
        <v>16987630</v>
      </c>
      <c r="DV496" t="s">
        <v>18</v>
      </c>
      <c r="DW496" t="s">
        <v>18</v>
      </c>
      <c r="DX496">
        <v>1</v>
      </c>
      <c r="DZ496" t="s">
        <v>3</v>
      </c>
      <c r="EA496" t="s">
        <v>3</v>
      </c>
      <c r="EB496" t="s">
        <v>3</v>
      </c>
      <c r="EC496" t="s">
        <v>3</v>
      </c>
      <c r="EE496">
        <v>1441815344</v>
      </c>
      <c r="EF496">
        <v>1</v>
      </c>
      <c r="EG496" t="s">
        <v>21</v>
      </c>
      <c r="EH496">
        <v>0</v>
      </c>
      <c r="EI496" t="s">
        <v>3</v>
      </c>
      <c r="EJ496">
        <v>4</v>
      </c>
      <c r="EK496">
        <v>0</v>
      </c>
      <c r="EL496" t="s">
        <v>22</v>
      </c>
      <c r="EM496" t="s">
        <v>23</v>
      </c>
      <c r="EO496" t="s">
        <v>3</v>
      </c>
      <c r="EQ496">
        <v>1311744</v>
      </c>
      <c r="ER496">
        <v>40.549999999999997</v>
      </c>
      <c r="ES496">
        <v>0</v>
      </c>
      <c r="ET496">
        <v>0</v>
      </c>
      <c r="EU496">
        <v>0</v>
      </c>
      <c r="EV496">
        <v>40.549999999999997</v>
      </c>
      <c r="EW496">
        <v>0.08</v>
      </c>
      <c r="EX496">
        <v>0</v>
      </c>
      <c r="EY496">
        <v>0</v>
      </c>
      <c r="FQ496">
        <v>0</v>
      </c>
      <c r="FR496">
        <f t="shared" si="273"/>
        <v>0</v>
      </c>
      <c r="FS496">
        <v>0</v>
      </c>
      <c r="FX496">
        <v>70</v>
      </c>
      <c r="FY496">
        <v>10</v>
      </c>
      <c r="GA496" t="s">
        <v>3</v>
      </c>
      <c r="GD496">
        <v>0</v>
      </c>
      <c r="GF496">
        <v>-760003618</v>
      </c>
      <c r="GG496">
        <v>2</v>
      </c>
      <c r="GH496">
        <v>1</v>
      </c>
      <c r="GI496">
        <v>-2</v>
      </c>
      <c r="GJ496">
        <v>0</v>
      </c>
      <c r="GK496">
        <f>ROUND(R496*(R12)/100,2)</f>
        <v>0</v>
      </c>
      <c r="GL496">
        <f t="shared" si="274"/>
        <v>0</v>
      </c>
      <c r="GM496">
        <f t="shared" si="275"/>
        <v>25765.48</v>
      </c>
      <c r="GN496">
        <f t="shared" si="276"/>
        <v>0</v>
      </c>
      <c r="GO496">
        <f t="shared" si="277"/>
        <v>0</v>
      </c>
      <c r="GP496">
        <f t="shared" si="278"/>
        <v>25765.48</v>
      </c>
      <c r="GR496">
        <v>0</v>
      </c>
      <c r="GS496">
        <v>3</v>
      </c>
      <c r="GT496">
        <v>0</v>
      </c>
      <c r="GU496" t="s">
        <v>3</v>
      </c>
      <c r="GV496">
        <f t="shared" si="279"/>
        <v>0</v>
      </c>
      <c r="GW496">
        <v>1</v>
      </c>
      <c r="GX496">
        <f t="shared" si="280"/>
        <v>0</v>
      </c>
      <c r="HA496">
        <v>0</v>
      </c>
      <c r="HB496">
        <v>0</v>
      </c>
      <c r="HC496">
        <f t="shared" si="281"/>
        <v>0</v>
      </c>
      <c r="HE496" t="s">
        <v>3</v>
      </c>
      <c r="HF496" t="s">
        <v>3</v>
      </c>
      <c r="HM496" t="s">
        <v>3</v>
      </c>
      <c r="HN496" t="s">
        <v>3</v>
      </c>
      <c r="HO496" t="s">
        <v>3</v>
      </c>
      <c r="HP496" t="s">
        <v>3</v>
      </c>
      <c r="HQ496" t="s">
        <v>3</v>
      </c>
      <c r="IK496">
        <v>0</v>
      </c>
    </row>
    <row r="497" spans="1:245" x14ac:dyDescent="0.2">
      <c r="A497">
        <v>17</v>
      </c>
      <c r="B497">
        <v>1</v>
      </c>
      <c r="D497">
        <f>ROW(EtalonRes!A107)</f>
        <v>107</v>
      </c>
      <c r="E497" t="s">
        <v>3</v>
      </c>
      <c r="F497" t="s">
        <v>217</v>
      </c>
      <c r="G497" t="s">
        <v>218</v>
      </c>
      <c r="H497" t="s">
        <v>18</v>
      </c>
      <c r="I497">
        <v>1</v>
      </c>
      <c r="J497">
        <v>0</v>
      </c>
      <c r="K497">
        <v>1</v>
      </c>
      <c r="O497">
        <f t="shared" si="249"/>
        <v>283.83999999999997</v>
      </c>
      <c r="P497">
        <f t="shared" si="250"/>
        <v>0</v>
      </c>
      <c r="Q497">
        <f t="shared" si="251"/>
        <v>0</v>
      </c>
      <c r="R497">
        <f t="shared" si="252"/>
        <v>0</v>
      </c>
      <c r="S497">
        <f t="shared" si="253"/>
        <v>283.83999999999997</v>
      </c>
      <c r="T497">
        <f t="shared" si="254"/>
        <v>0</v>
      </c>
      <c r="U497">
        <f t="shared" si="255"/>
        <v>0.56000000000000005</v>
      </c>
      <c r="V497">
        <f t="shared" si="256"/>
        <v>0</v>
      </c>
      <c r="W497">
        <f t="shared" si="257"/>
        <v>0</v>
      </c>
      <c r="X497">
        <f t="shared" si="258"/>
        <v>198.69</v>
      </c>
      <c r="Y497">
        <f t="shared" si="259"/>
        <v>28.38</v>
      </c>
      <c r="AA497">
        <v>-1</v>
      </c>
      <c r="AB497">
        <f t="shared" si="260"/>
        <v>283.83999999999997</v>
      </c>
      <c r="AC497">
        <f>ROUND(((ES497*4)),6)</f>
        <v>0</v>
      </c>
      <c r="AD497">
        <f>ROUND(((((ET497*4))-((EU497*4)))+AE497),6)</f>
        <v>0</v>
      </c>
      <c r="AE497">
        <f>ROUND(((EU497*4)),6)</f>
        <v>0</v>
      </c>
      <c r="AF497">
        <f>ROUND(((EV497*4)),6)</f>
        <v>283.83999999999997</v>
      </c>
      <c r="AG497">
        <f t="shared" si="261"/>
        <v>0</v>
      </c>
      <c r="AH497">
        <f>((EW497*4))</f>
        <v>0.56000000000000005</v>
      </c>
      <c r="AI497">
        <f>((EX497*4))</f>
        <v>0</v>
      </c>
      <c r="AJ497">
        <f t="shared" si="262"/>
        <v>0</v>
      </c>
      <c r="AK497">
        <v>70.959999999999994</v>
      </c>
      <c r="AL497">
        <v>0</v>
      </c>
      <c r="AM497">
        <v>0</v>
      </c>
      <c r="AN497">
        <v>0</v>
      </c>
      <c r="AO497">
        <v>70.959999999999994</v>
      </c>
      <c r="AP497">
        <v>0</v>
      </c>
      <c r="AQ497">
        <v>0.14000000000000001</v>
      </c>
      <c r="AR497">
        <v>0</v>
      </c>
      <c r="AS497">
        <v>0</v>
      </c>
      <c r="AT497">
        <v>70</v>
      </c>
      <c r="AU497">
        <v>10</v>
      </c>
      <c r="AV497">
        <v>1</v>
      </c>
      <c r="AW497">
        <v>1</v>
      </c>
      <c r="AZ497">
        <v>1</v>
      </c>
      <c r="BA497">
        <v>1</v>
      </c>
      <c r="BB497">
        <v>1</v>
      </c>
      <c r="BC497">
        <v>1</v>
      </c>
      <c r="BD497" t="s">
        <v>3</v>
      </c>
      <c r="BE497" t="s">
        <v>3</v>
      </c>
      <c r="BF497" t="s">
        <v>3</v>
      </c>
      <c r="BG497" t="s">
        <v>3</v>
      </c>
      <c r="BH497">
        <v>0</v>
      </c>
      <c r="BI497">
        <v>4</v>
      </c>
      <c r="BJ497" t="s">
        <v>219</v>
      </c>
      <c r="BM497">
        <v>0</v>
      </c>
      <c r="BN497">
        <v>0</v>
      </c>
      <c r="BO497" t="s">
        <v>3</v>
      </c>
      <c r="BP497">
        <v>0</v>
      </c>
      <c r="BQ497">
        <v>1</v>
      </c>
      <c r="BR497">
        <v>0</v>
      </c>
      <c r="BS497">
        <v>1</v>
      </c>
      <c r="BT497">
        <v>1</v>
      </c>
      <c r="BU497">
        <v>1</v>
      </c>
      <c r="BV497">
        <v>1</v>
      </c>
      <c r="BW497">
        <v>1</v>
      </c>
      <c r="BX497">
        <v>1</v>
      </c>
      <c r="BY497" t="s">
        <v>3</v>
      </c>
      <c r="BZ497">
        <v>70</v>
      </c>
      <c r="CA497">
        <v>10</v>
      </c>
      <c r="CB497" t="s">
        <v>3</v>
      </c>
      <c r="CE497">
        <v>0</v>
      </c>
      <c r="CF497">
        <v>0</v>
      </c>
      <c r="CG497">
        <v>0</v>
      </c>
      <c r="CM497">
        <v>0</v>
      </c>
      <c r="CN497" t="s">
        <v>3</v>
      </c>
      <c r="CO497">
        <v>0</v>
      </c>
      <c r="CP497">
        <f t="shared" si="263"/>
        <v>283.83999999999997</v>
      </c>
      <c r="CQ497">
        <f t="shared" si="264"/>
        <v>0</v>
      </c>
      <c r="CR497">
        <f>(((((ET497*4))*BB497-((EU497*4))*BS497)+AE497*BS497)*AV497)</f>
        <v>0</v>
      </c>
      <c r="CS497">
        <f t="shared" si="265"/>
        <v>0</v>
      </c>
      <c r="CT497">
        <f t="shared" si="266"/>
        <v>283.83999999999997</v>
      </c>
      <c r="CU497">
        <f t="shared" si="267"/>
        <v>0</v>
      </c>
      <c r="CV497">
        <f t="shared" si="268"/>
        <v>0.56000000000000005</v>
      </c>
      <c r="CW497">
        <f t="shared" si="269"/>
        <v>0</v>
      </c>
      <c r="CX497">
        <f t="shared" si="270"/>
        <v>0</v>
      </c>
      <c r="CY497">
        <f t="shared" si="271"/>
        <v>198.68799999999999</v>
      </c>
      <c r="CZ497">
        <f t="shared" si="272"/>
        <v>28.383999999999997</v>
      </c>
      <c r="DC497" t="s">
        <v>3</v>
      </c>
      <c r="DD497" t="s">
        <v>28</v>
      </c>
      <c r="DE497" t="s">
        <v>28</v>
      </c>
      <c r="DF497" t="s">
        <v>28</v>
      </c>
      <c r="DG497" t="s">
        <v>28</v>
      </c>
      <c r="DH497" t="s">
        <v>3</v>
      </c>
      <c r="DI497" t="s">
        <v>28</v>
      </c>
      <c r="DJ497" t="s">
        <v>28</v>
      </c>
      <c r="DK497" t="s">
        <v>3</v>
      </c>
      <c r="DL497" t="s">
        <v>3</v>
      </c>
      <c r="DM497" t="s">
        <v>3</v>
      </c>
      <c r="DN497">
        <v>0</v>
      </c>
      <c r="DO497">
        <v>0</v>
      </c>
      <c r="DP497">
        <v>1</v>
      </c>
      <c r="DQ497">
        <v>1</v>
      </c>
      <c r="DU497">
        <v>16987630</v>
      </c>
      <c r="DV497" t="s">
        <v>18</v>
      </c>
      <c r="DW497" t="s">
        <v>18</v>
      </c>
      <c r="DX497">
        <v>1</v>
      </c>
      <c r="DZ497" t="s">
        <v>3</v>
      </c>
      <c r="EA497" t="s">
        <v>3</v>
      </c>
      <c r="EB497" t="s">
        <v>3</v>
      </c>
      <c r="EC497" t="s">
        <v>3</v>
      </c>
      <c r="EE497">
        <v>1441815344</v>
      </c>
      <c r="EF497">
        <v>1</v>
      </c>
      <c r="EG497" t="s">
        <v>21</v>
      </c>
      <c r="EH497">
        <v>0</v>
      </c>
      <c r="EI497" t="s">
        <v>3</v>
      </c>
      <c r="EJ497">
        <v>4</v>
      </c>
      <c r="EK497">
        <v>0</v>
      </c>
      <c r="EL497" t="s">
        <v>22</v>
      </c>
      <c r="EM497" t="s">
        <v>23</v>
      </c>
      <c r="EO497" t="s">
        <v>3</v>
      </c>
      <c r="EQ497">
        <v>1024</v>
      </c>
      <c r="ER497">
        <v>70.959999999999994</v>
      </c>
      <c r="ES497">
        <v>0</v>
      </c>
      <c r="ET497">
        <v>0</v>
      </c>
      <c r="EU497">
        <v>0</v>
      </c>
      <c r="EV497">
        <v>70.959999999999994</v>
      </c>
      <c r="EW497">
        <v>0.14000000000000001</v>
      </c>
      <c r="EX497">
        <v>0</v>
      </c>
      <c r="EY497">
        <v>0</v>
      </c>
      <c r="FQ497">
        <v>0</v>
      </c>
      <c r="FR497">
        <f t="shared" si="273"/>
        <v>0</v>
      </c>
      <c r="FS497">
        <v>0</v>
      </c>
      <c r="FX497">
        <v>70</v>
      </c>
      <c r="FY497">
        <v>10</v>
      </c>
      <c r="GA497" t="s">
        <v>3</v>
      </c>
      <c r="GD497">
        <v>0</v>
      </c>
      <c r="GF497">
        <v>-1648066009</v>
      </c>
      <c r="GG497">
        <v>2</v>
      </c>
      <c r="GH497">
        <v>1</v>
      </c>
      <c r="GI497">
        <v>-2</v>
      </c>
      <c r="GJ497">
        <v>0</v>
      </c>
      <c r="GK497">
        <f>ROUND(R497*(R12)/100,2)</f>
        <v>0</v>
      </c>
      <c r="GL497">
        <f t="shared" si="274"/>
        <v>0</v>
      </c>
      <c r="GM497">
        <f t="shared" si="275"/>
        <v>510.91</v>
      </c>
      <c r="GN497">
        <f t="shared" si="276"/>
        <v>0</v>
      </c>
      <c r="GO497">
        <f t="shared" si="277"/>
        <v>0</v>
      </c>
      <c r="GP497">
        <f t="shared" si="278"/>
        <v>510.91</v>
      </c>
      <c r="GR497">
        <v>0</v>
      </c>
      <c r="GS497">
        <v>3</v>
      </c>
      <c r="GT497">
        <v>0</v>
      </c>
      <c r="GU497" t="s">
        <v>3</v>
      </c>
      <c r="GV497">
        <f t="shared" si="279"/>
        <v>0</v>
      </c>
      <c r="GW497">
        <v>1</v>
      </c>
      <c r="GX497">
        <f t="shared" si="280"/>
        <v>0</v>
      </c>
      <c r="HA497">
        <v>0</v>
      </c>
      <c r="HB497">
        <v>0</v>
      </c>
      <c r="HC497">
        <f t="shared" si="281"/>
        <v>0</v>
      </c>
      <c r="HE497" t="s">
        <v>3</v>
      </c>
      <c r="HF497" t="s">
        <v>3</v>
      </c>
      <c r="HM497" t="s">
        <v>3</v>
      </c>
      <c r="HN497" t="s">
        <v>3</v>
      </c>
      <c r="HO497" t="s">
        <v>3</v>
      </c>
      <c r="HP497" t="s">
        <v>3</v>
      </c>
      <c r="HQ497" t="s">
        <v>3</v>
      </c>
      <c r="IK497">
        <v>0</v>
      </c>
    </row>
    <row r="498" spans="1:245" x14ac:dyDescent="0.2">
      <c r="A498">
        <v>17</v>
      </c>
      <c r="B498">
        <v>1</v>
      </c>
      <c r="D498">
        <f>ROW(EtalonRes!A109)</f>
        <v>109</v>
      </c>
      <c r="E498" t="s">
        <v>220</v>
      </c>
      <c r="F498" t="s">
        <v>221</v>
      </c>
      <c r="G498" t="s">
        <v>222</v>
      </c>
      <c r="H498" t="s">
        <v>18</v>
      </c>
      <c r="I498">
        <v>1</v>
      </c>
      <c r="J498">
        <v>0</v>
      </c>
      <c r="K498">
        <v>1</v>
      </c>
      <c r="O498">
        <f t="shared" si="249"/>
        <v>338.88</v>
      </c>
      <c r="P498">
        <f t="shared" si="250"/>
        <v>1.57</v>
      </c>
      <c r="Q498">
        <f t="shared" si="251"/>
        <v>0</v>
      </c>
      <c r="R498">
        <f t="shared" si="252"/>
        <v>0</v>
      </c>
      <c r="S498">
        <f t="shared" si="253"/>
        <v>337.31</v>
      </c>
      <c r="T498">
        <f t="shared" si="254"/>
        <v>0</v>
      </c>
      <c r="U498">
        <f t="shared" si="255"/>
        <v>0.6</v>
      </c>
      <c r="V498">
        <f t="shared" si="256"/>
        <v>0</v>
      </c>
      <c r="W498">
        <f t="shared" si="257"/>
        <v>0</v>
      </c>
      <c r="X498">
        <f t="shared" si="258"/>
        <v>236.12</v>
      </c>
      <c r="Y498">
        <f t="shared" si="259"/>
        <v>33.729999999999997</v>
      </c>
      <c r="AA498">
        <v>1473080740</v>
      </c>
      <c r="AB498">
        <f t="shared" si="260"/>
        <v>338.88</v>
      </c>
      <c r="AC498">
        <f>ROUND((ES498),6)</f>
        <v>1.57</v>
      </c>
      <c r="AD498">
        <f>ROUND((((ET498)-(EU498))+AE498),6)</f>
        <v>0</v>
      </c>
      <c r="AE498">
        <f>ROUND((EU498),6)</f>
        <v>0</v>
      </c>
      <c r="AF498">
        <f>ROUND((EV498),6)</f>
        <v>337.31</v>
      </c>
      <c r="AG498">
        <f t="shared" si="261"/>
        <v>0</v>
      </c>
      <c r="AH498">
        <f>(EW498)</f>
        <v>0.6</v>
      </c>
      <c r="AI498">
        <f>(EX498)</f>
        <v>0</v>
      </c>
      <c r="AJ498">
        <f t="shared" si="262"/>
        <v>0</v>
      </c>
      <c r="AK498">
        <v>338.88</v>
      </c>
      <c r="AL498">
        <v>1.57</v>
      </c>
      <c r="AM498">
        <v>0</v>
      </c>
      <c r="AN498">
        <v>0</v>
      </c>
      <c r="AO498">
        <v>337.31</v>
      </c>
      <c r="AP498">
        <v>0</v>
      </c>
      <c r="AQ498">
        <v>0.6</v>
      </c>
      <c r="AR498">
        <v>0</v>
      </c>
      <c r="AS498">
        <v>0</v>
      </c>
      <c r="AT498">
        <v>70</v>
      </c>
      <c r="AU498">
        <v>10</v>
      </c>
      <c r="AV498">
        <v>1</v>
      </c>
      <c r="AW498">
        <v>1</v>
      </c>
      <c r="AZ498">
        <v>1</v>
      </c>
      <c r="BA498">
        <v>1</v>
      </c>
      <c r="BB498">
        <v>1</v>
      </c>
      <c r="BC498">
        <v>1</v>
      </c>
      <c r="BD498" t="s">
        <v>3</v>
      </c>
      <c r="BE498" t="s">
        <v>3</v>
      </c>
      <c r="BF498" t="s">
        <v>3</v>
      </c>
      <c r="BG498" t="s">
        <v>3</v>
      </c>
      <c r="BH498">
        <v>0</v>
      </c>
      <c r="BI498">
        <v>4</v>
      </c>
      <c r="BJ498" t="s">
        <v>223</v>
      </c>
      <c r="BM498">
        <v>0</v>
      </c>
      <c r="BN498">
        <v>0</v>
      </c>
      <c r="BO498" t="s">
        <v>3</v>
      </c>
      <c r="BP498">
        <v>0</v>
      </c>
      <c r="BQ498">
        <v>1</v>
      </c>
      <c r="BR498">
        <v>0</v>
      </c>
      <c r="BS498">
        <v>1</v>
      </c>
      <c r="BT498">
        <v>1</v>
      </c>
      <c r="BU498">
        <v>1</v>
      </c>
      <c r="BV498">
        <v>1</v>
      </c>
      <c r="BW498">
        <v>1</v>
      </c>
      <c r="BX498">
        <v>1</v>
      </c>
      <c r="BY498" t="s">
        <v>3</v>
      </c>
      <c r="BZ498">
        <v>70</v>
      </c>
      <c r="CA498">
        <v>10</v>
      </c>
      <c r="CB498" t="s">
        <v>3</v>
      </c>
      <c r="CE498">
        <v>0</v>
      </c>
      <c r="CF498">
        <v>0</v>
      </c>
      <c r="CG498">
        <v>0</v>
      </c>
      <c r="CM498">
        <v>0</v>
      </c>
      <c r="CN498" t="s">
        <v>3</v>
      </c>
      <c r="CO498">
        <v>0</v>
      </c>
      <c r="CP498">
        <f t="shared" si="263"/>
        <v>338.88</v>
      </c>
      <c r="CQ498">
        <f t="shared" si="264"/>
        <v>1.57</v>
      </c>
      <c r="CR498">
        <f>((((ET498)*BB498-(EU498)*BS498)+AE498*BS498)*AV498)</f>
        <v>0</v>
      </c>
      <c r="CS498">
        <f t="shared" si="265"/>
        <v>0</v>
      </c>
      <c r="CT498">
        <f t="shared" si="266"/>
        <v>337.31</v>
      </c>
      <c r="CU498">
        <f t="shared" si="267"/>
        <v>0</v>
      </c>
      <c r="CV498">
        <f t="shared" si="268"/>
        <v>0.6</v>
      </c>
      <c r="CW498">
        <f t="shared" si="269"/>
        <v>0</v>
      </c>
      <c r="CX498">
        <f t="shared" si="270"/>
        <v>0</v>
      </c>
      <c r="CY498">
        <f t="shared" si="271"/>
        <v>236.11700000000002</v>
      </c>
      <c r="CZ498">
        <f t="shared" si="272"/>
        <v>33.731000000000002</v>
      </c>
      <c r="DC498" t="s">
        <v>3</v>
      </c>
      <c r="DD498" t="s">
        <v>3</v>
      </c>
      <c r="DE498" t="s">
        <v>3</v>
      </c>
      <c r="DF498" t="s">
        <v>3</v>
      </c>
      <c r="DG498" t="s">
        <v>3</v>
      </c>
      <c r="DH498" t="s">
        <v>3</v>
      </c>
      <c r="DI498" t="s">
        <v>3</v>
      </c>
      <c r="DJ498" t="s">
        <v>3</v>
      </c>
      <c r="DK498" t="s">
        <v>3</v>
      </c>
      <c r="DL498" t="s">
        <v>3</v>
      </c>
      <c r="DM498" t="s">
        <v>3</v>
      </c>
      <c r="DN498">
        <v>0</v>
      </c>
      <c r="DO498">
        <v>0</v>
      </c>
      <c r="DP498">
        <v>1</v>
      </c>
      <c r="DQ498">
        <v>1</v>
      </c>
      <c r="DU498">
        <v>16987630</v>
      </c>
      <c r="DV498" t="s">
        <v>18</v>
      </c>
      <c r="DW498" t="s">
        <v>18</v>
      </c>
      <c r="DX498">
        <v>1</v>
      </c>
      <c r="DZ498" t="s">
        <v>3</v>
      </c>
      <c r="EA498" t="s">
        <v>3</v>
      </c>
      <c r="EB498" t="s">
        <v>3</v>
      </c>
      <c r="EC498" t="s">
        <v>3</v>
      </c>
      <c r="EE498">
        <v>1441815344</v>
      </c>
      <c r="EF498">
        <v>1</v>
      </c>
      <c r="EG498" t="s">
        <v>21</v>
      </c>
      <c r="EH498">
        <v>0</v>
      </c>
      <c r="EI498" t="s">
        <v>3</v>
      </c>
      <c r="EJ498">
        <v>4</v>
      </c>
      <c r="EK498">
        <v>0</v>
      </c>
      <c r="EL498" t="s">
        <v>22</v>
      </c>
      <c r="EM498" t="s">
        <v>23</v>
      </c>
      <c r="EO498" t="s">
        <v>3</v>
      </c>
      <c r="EQ498">
        <v>0</v>
      </c>
      <c r="ER498">
        <v>338.88</v>
      </c>
      <c r="ES498">
        <v>1.57</v>
      </c>
      <c r="ET498">
        <v>0</v>
      </c>
      <c r="EU498">
        <v>0</v>
      </c>
      <c r="EV498">
        <v>337.31</v>
      </c>
      <c r="EW498">
        <v>0.6</v>
      </c>
      <c r="EX498">
        <v>0</v>
      </c>
      <c r="EY498">
        <v>0</v>
      </c>
      <c r="FQ498">
        <v>0</v>
      </c>
      <c r="FR498">
        <f t="shared" si="273"/>
        <v>0</v>
      </c>
      <c r="FS498">
        <v>0</v>
      </c>
      <c r="FX498">
        <v>70</v>
      </c>
      <c r="FY498">
        <v>10</v>
      </c>
      <c r="GA498" t="s">
        <v>3</v>
      </c>
      <c r="GD498">
        <v>0</v>
      </c>
      <c r="GF498">
        <v>595984218</v>
      </c>
      <c r="GG498">
        <v>2</v>
      </c>
      <c r="GH498">
        <v>1</v>
      </c>
      <c r="GI498">
        <v>-2</v>
      </c>
      <c r="GJ498">
        <v>0</v>
      </c>
      <c r="GK498">
        <f>ROUND(R498*(R12)/100,2)</f>
        <v>0</v>
      </c>
      <c r="GL498">
        <f t="shared" si="274"/>
        <v>0</v>
      </c>
      <c r="GM498">
        <f t="shared" si="275"/>
        <v>608.73</v>
      </c>
      <c r="GN498">
        <f t="shared" si="276"/>
        <v>0</v>
      </c>
      <c r="GO498">
        <f t="shared" si="277"/>
        <v>0</v>
      </c>
      <c r="GP498">
        <f t="shared" si="278"/>
        <v>608.73</v>
      </c>
      <c r="GR498">
        <v>0</v>
      </c>
      <c r="GS498">
        <v>3</v>
      </c>
      <c r="GT498">
        <v>0</v>
      </c>
      <c r="GU498" t="s">
        <v>3</v>
      </c>
      <c r="GV498">
        <f t="shared" si="279"/>
        <v>0</v>
      </c>
      <c r="GW498">
        <v>1</v>
      </c>
      <c r="GX498">
        <f t="shared" si="280"/>
        <v>0</v>
      </c>
      <c r="HA498">
        <v>0</v>
      </c>
      <c r="HB498">
        <v>0</v>
      </c>
      <c r="HC498">
        <f t="shared" si="281"/>
        <v>0</v>
      </c>
      <c r="HE498" t="s">
        <v>3</v>
      </c>
      <c r="HF498" t="s">
        <v>3</v>
      </c>
      <c r="HM498" t="s">
        <v>3</v>
      </c>
      <c r="HN498" t="s">
        <v>3</v>
      </c>
      <c r="HO498" t="s">
        <v>3</v>
      </c>
      <c r="HP498" t="s">
        <v>3</v>
      </c>
      <c r="HQ498" t="s">
        <v>3</v>
      </c>
      <c r="IK498">
        <v>0</v>
      </c>
    </row>
    <row r="499" spans="1:245" x14ac:dyDescent="0.2">
      <c r="A499">
        <v>17</v>
      </c>
      <c r="B499">
        <v>1</v>
      </c>
      <c r="D499">
        <f>ROW(EtalonRes!A115)</f>
        <v>115</v>
      </c>
      <c r="E499" t="s">
        <v>224</v>
      </c>
      <c r="F499" t="s">
        <v>225</v>
      </c>
      <c r="G499" t="s">
        <v>226</v>
      </c>
      <c r="H499" t="s">
        <v>18</v>
      </c>
      <c r="I499">
        <f>ROUND(1+3+2+5,9)</f>
        <v>11</v>
      </c>
      <c r="J499">
        <v>0</v>
      </c>
      <c r="K499">
        <f>ROUND(1+3+2+5,9)</f>
        <v>11</v>
      </c>
      <c r="O499">
        <f t="shared" si="249"/>
        <v>10324.82</v>
      </c>
      <c r="P499">
        <f t="shared" si="250"/>
        <v>136.29</v>
      </c>
      <c r="Q499">
        <f t="shared" si="251"/>
        <v>0</v>
      </c>
      <c r="R499">
        <f t="shared" si="252"/>
        <v>0</v>
      </c>
      <c r="S499">
        <f t="shared" si="253"/>
        <v>10188.530000000001</v>
      </c>
      <c r="T499">
        <f t="shared" si="254"/>
        <v>0</v>
      </c>
      <c r="U499">
        <f t="shared" si="255"/>
        <v>16.5</v>
      </c>
      <c r="V499">
        <f t="shared" si="256"/>
        <v>0</v>
      </c>
      <c r="W499">
        <f t="shared" si="257"/>
        <v>0</v>
      </c>
      <c r="X499">
        <f t="shared" si="258"/>
        <v>7131.97</v>
      </c>
      <c r="Y499">
        <f t="shared" si="259"/>
        <v>1018.85</v>
      </c>
      <c r="AA499">
        <v>1473080740</v>
      </c>
      <c r="AB499">
        <f t="shared" si="260"/>
        <v>938.62</v>
      </c>
      <c r="AC499">
        <f>ROUND((ES499),6)</f>
        <v>12.39</v>
      </c>
      <c r="AD499">
        <f>ROUND((((ET499)-(EU499))+AE499),6)</f>
        <v>0</v>
      </c>
      <c r="AE499">
        <f>ROUND((EU499),6)</f>
        <v>0</v>
      </c>
      <c r="AF499">
        <f>ROUND((EV499),6)</f>
        <v>926.23</v>
      </c>
      <c r="AG499">
        <f t="shared" si="261"/>
        <v>0</v>
      </c>
      <c r="AH499">
        <f>(EW499)</f>
        <v>1.5</v>
      </c>
      <c r="AI499">
        <f>(EX499)</f>
        <v>0</v>
      </c>
      <c r="AJ499">
        <f t="shared" si="262"/>
        <v>0</v>
      </c>
      <c r="AK499">
        <v>938.62</v>
      </c>
      <c r="AL499">
        <v>12.39</v>
      </c>
      <c r="AM499">
        <v>0</v>
      </c>
      <c r="AN499">
        <v>0</v>
      </c>
      <c r="AO499">
        <v>926.23</v>
      </c>
      <c r="AP499">
        <v>0</v>
      </c>
      <c r="AQ499">
        <v>1.5</v>
      </c>
      <c r="AR499">
        <v>0</v>
      </c>
      <c r="AS499">
        <v>0</v>
      </c>
      <c r="AT499">
        <v>70</v>
      </c>
      <c r="AU499">
        <v>10</v>
      </c>
      <c r="AV499">
        <v>1</v>
      </c>
      <c r="AW499">
        <v>1</v>
      </c>
      <c r="AZ499">
        <v>1</v>
      </c>
      <c r="BA499">
        <v>1</v>
      </c>
      <c r="BB499">
        <v>1</v>
      </c>
      <c r="BC499">
        <v>1</v>
      </c>
      <c r="BD499" t="s">
        <v>3</v>
      </c>
      <c r="BE499" t="s">
        <v>3</v>
      </c>
      <c r="BF499" t="s">
        <v>3</v>
      </c>
      <c r="BG499" t="s">
        <v>3</v>
      </c>
      <c r="BH499">
        <v>0</v>
      </c>
      <c r="BI499">
        <v>4</v>
      </c>
      <c r="BJ499" t="s">
        <v>227</v>
      </c>
      <c r="BM499">
        <v>0</v>
      </c>
      <c r="BN499">
        <v>0</v>
      </c>
      <c r="BO499" t="s">
        <v>3</v>
      </c>
      <c r="BP499">
        <v>0</v>
      </c>
      <c r="BQ499">
        <v>1</v>
      </c>
      <c r="BR499">
        <v>0</v>
      </c>
      <c r="BS499">
        <v>1</v>
      </c>
      <c r="BT499">
        <v>1</v>
      </c>
      <c r="BU499">
        <v>1</v>
      </c>
      <c r="BV499">
        <v>1</v>
      </c>
      <c r="BW499">
        <v>1</v>
      </c>
      <c r="BX499">
        <v>1</v>
      </c>
      <c r="BY499" t="s">
        <v>3</v>
      </c>
      <c r="BZ499">
        <v>70</v>
      </c>
      <c r="CA499">
        <v>10</v>
      </c>
      <c r="CB499" t="s">
        <v>3</v>
      </c>
      <c r="CE499">
        <v>0</v>
      </c>
      <c r="CF499">
        <v>0</v>
      </c>
      <c r="CG499">
        <v>0</v>
      </c>
      <c r="CM499">
        <v>0</v>
      </c>
      <c r="CN499" t="s">
        <v>3</v>
      </c>
      <c r="CO499">
        <v>0</v>
      </c>
      <c r="CP499">
        <f t="shared" si="263"/>
        <v>10324.820000000002</v>
      </c>
      <c r="CQ499">
        <f t="shared" si="264"/>
        <v>12.39</v>
      </c>
      <c r="CR499">
        <f>((((ET499)*BB499-(EU499)*BS499)+AE499*BS499)*AV499)</f>
        <v>0</v>
      </c>
      <c r="CS499">
        <f t="shared" si="265"/>
        <v>0</v>
      </c>
      <c r="CT499">
        <f t="shared" si="266"/>
        <v>926.23</v>
      </c>
      <c r="CU499">
        <f t="shared" si="267"/>
        <v>0</v>
      </c>
      <c r="CV499">
        <f t="shared" si="268"/>
        <v>1.5</v>
      </c>
      <c r="CW499">
        <f t="shared" si="269"/>
        <v>0</v>
      </c>
      <c r="CX499">
        <f t="shared" si="270"/>
        <v>0</v>
      </c>
      <c r="CY499">
        <f t="shared" si="271"/>
        <v>7131.9710000000014</v>
      </c>
      <c r="CZ499">
        <f t="shared" si="272"/>
        <v>1018.8530000000001</v>
      </c>
      <c r="DC499" t="s">
        <v>3</v>
      </c>
      <c r="DD499" t="s">
        <v>3</v>
      </c>
      <c r="DE499" t="s">
        <v>3</v>
      </c>
      <c r="DF499" t="s">
        <v>3</v>
      </c>
      <c r="DG499" t="s">
        <v>3</v>
      </c>
      <c r="DH499" t="s">
        <v>3</v>
      </c>
      <c r="DI499" t="s">
        <v>3</v>
      </c>
      <c r="DJ499" t="s">
        <v>3</v>
      </c>
      <c r="DK499" t="s">
        <v>3</v>
      </c>
      <c r="DL499" t="s">
        <v>3</v>
      </c>
      <c r="DM499" t="s">
        <v>3</v>
      </c>
      <c r="DN499">
        <v>0</v>
      </c>
      <c r="DO499">
        <v>0</v>
      </c>
      <c r="DP499">
        <v>1</v>
      </c>
      <c r="DQ499">
        <v>1</v>
      </c>
      <c r="DU499">
        <v>16987630</v>
      </c>
      <c r="DV499" t="s">
        <v>18</v>
      </c>
      <c r="DW499" t="s">
        <v>18</v>
      </c>
      <c r="DX499">
        <v>1</v>
      </c>
      <c r="DZ499" t="s">
        <v>3</v>
      </c>
      <c r="EA499" t="s">
        <v>3</v>
      </c>
      <c r="EB499" t="s">
        <v>3</v>
      </c>
      <c r="EC499" t="s">
        <v>3</v>
      </c>
      <c r="EE499">
        <v>1441815344</v>
      </c>
      <c r="EF499">
        <v>1</v>
      </c>
      <c r="EG499" t="s">
        <v>21</v>
      </c>
      <c r="EH499">
        <v>0</v>
      </c>
      <c r="EI499" t="s">
        <v>3</v>
      </c>
      <c r="EJ499">
        <v>4</v>
      </c>
      <c r="EK499">
        <v>0</v>
      </c>
      <c r="EL499" t="s">
        <v>22</v>
      </c>
      <c r="EM499" t="s">
        <v>23</v>
      </c>
      <c r="EO499" t="s">
        <v>3</v>
      </c>
      <c r="EQ499">
        <v>0</v>
      </c>
      <c r="ER499">
        <v>938.62</v>
      </c>
      <c r="ES499">
        <v>12.39</v>
      </c>
      <c r="ET499">
        <v>0</v>
      </c>
      <c r="EU499">
        <v>0</v>
      </c>
      <c r="EV499">
        <v>926.23</v>
      </c>
      <c r="EW499">
        <v>1.5</v>
      </c>
      <c r="EX499">
        <v>0</v>
      </c>
      <c r="EY499">
        <v>0</v>
      </c>
      <c r="FQ499">
        <v>0</v>
      </c>
      <c r="FR499">
        <f t="shared" si="273"/>
        <v>0</v>
      </c>
      <c r="FS499">
        <v>0</v>
      </c>
      <c r="FX499">
        <v>70</v>
      </c>
      <c r="FY499">
        <v>10</v>
      </c>
      <c r="GA499" t="s">
        <v>3</v>
      </c>
      <c r="GD499">
        <v>0</v>
      </c>
      <c r="GF499">
        <v>-1527887975</v>
      </c>
      <c r="GG499">
        <v>2</v>
      </c>
      <c r="GH499">
        <v>1</v>
      </c>
      <c r="GI499">
        <v>-2</v>
      </c>
      <c r="GJ499">
        <v>0</v>
      </c>
      <c r="GK499">
        <f>ROUND(R499*(R12)/100,2)</f>
        <v>0</v>
      </c>
      <c r="GL499">
        <f t="shared" si="274"/>
        <v>0</v>
      </c>
      <c r="GM499">
        <f t="shared" si="275"/>
        <v>18475.64</v>
      </c>
      <c r="GN499">
        <f t="shared" si="276"/>
        <v>0</v>
      </c>
      <c r="GO499">
        <f t="shared" si="277"/>
        <v>0</v>
      </c>
      <c r="GP499">
        <f t="shared" si="278"/>
        <v>18475.64</v>
      </c>
      <c r="GR499">
        <v>0</v>
      </c>
      <c r="GS499">
        <v>3</v>
      </c>
      <c r="GT499">
        <v>0</v>
      </c>
      <c r="GU499" t="s">
        <v>3</v>
      </c>
      <c r="GV499">
        <f t="shared" si="279"/>
        <v>0</v>
      </c>
      <c r="GW499">
        <v>1</v>
      </c>
      <c r="GX499">
        <f t="shared" si="280"/>
        <v>0</v>
      </c>
      <c r="HA499">
        <v>0</v>
      </c>
      <c r="HB499">
        <v>0</v>
      </c>
      <c r="HC499">
        <f t="shared" si="281"/>
        <v>0</v>
      </c>
      <c r="HE499" t="s">
        <v>3</v>
      </c>
      <c r="HF499" t="s">
        <v>3</v>
      </c>
      <c r="HM499" t="s">
        <v>3</v>
      </c>
      <c r="HN499" t="s">
        <v>3</v>
      </c>
      <c r="HO499" t="s">
        <v>3</v>
      </c>
      <c r="HP499" t="s">
        <v>3</v>
      </c>
      <c r="HQ499" t="s">
        <v>3</v>
      </c>
      <c r="IK499">
        <v>0</v>
      </c>
    </row>
    <row r="500" spans="1:245" x14ac:dyDescent="0.2">
      <c r="A500">
        <v>17</v>
      </c>
      <c r="B500">
        <v>1</v>
      </c>
      <c r="D500">
        <f>ROW(EtalonRes!A116)</f>
        <v>116</v>
      </c>
      <c r="E500" t="s">
        <v>3</v>
      </c>
      <c r="F500" t="s">
        <v>228</v>
      </c>
      <c r="G500" t="s">
        <v>229</v>
      </c>
      <c r="H500" t="s">
        <v>18</v>
      </c>
      <c r="I500">
        <f>ROUND(1+3+2+5,9)</f>
        <v>11</v>
      </c>
      <c r="J500">
        <v>0</v>
      </c>
      <c r="K500">
        <f>ROUND(1+3+2+5,9)</f>
        <v>11</v>
      </c>
      <c r="O500">
        <f t="shared" si="249"/>
        <v>1018.71</v>
      </c>
      <c r="P500">
        <f t="shared" si="250"/>
        <v>0</v>
      </c>
      <c r="Q500">
        <f t="shared" si="251"/>
        <v>0</v>
      </c>
      <c r="R500">
        <f t="shared" si="252"/>
        <v>0</v>
      </c>
      <c r="S500">
        <f t="shared" si="253"/>
        <v>1018.71</v>
      </c>
      <c r="T500">
        <f t="shared" si="254"/>
        <v>0</v>
      </c>
      <c r="U500">
        <f t="shared" si="255"/>
        <v>1.6500000000000004</v>
      </c>
      <c r="V500">
        <f t="shared" si="256"/>
        <v>0</v>
      </c>
      <c r="W500">
        <f t="shared" si="257"/>
        <v>0</v>
      </c>
      <c r="X500">
        <f t="shared" si="258"/>
        <v>713.1</v>
      </c>
      <c r="Y500">
        <f t="shared" si="259"/>
        <v>101.87</v>
      </c>
      <c r="AA500">
        <v>-1</v>
      </c>
      <c r="AB500">
        <f t="shared" si="260"/>
        <v>92.61</v>
      </c>
      <c r="AC500">
        <f>ROUND(((ES500*3)),6)</f>
        <v>0</v>
      </c>
      <c r="AD500">
        <f>ROUND(((((ET500*3))-((EU500*3)))+AE500),6)</f>
        <v>0</v>
      </c>
      <c r="AE500">
        <f>ROUND(((EU500*3)),6)</f>
        <v>0</v>
      </c>
      <c r="AF500">
        <f>ROUND(((EV500*3)),6)</f>
        <v>92.61</v>
      </c>
      <c r="AG500">
        <f t="shared" si="261"/>
        <v>0</v>
      </c>
      <c r="AH500">
        <f>((EW500*3))</f>
        <v>0.15000000000000002</v>
      </c>
      <c r="AI500">
        <f>((EX500*3))</f>
        <v>0</v>
      </c>
      <c r="AJ500">
        <f t="shared" si="262"/>
        <v>0</v>
      </c>
      <c r="AK500">
        <v>30.87</v>
      </c>
      <c r="AL500">
        <v>0</v>
      </c>
      <c r="AM500">
        <v>0</v>
      </c>
      <c r="AN500">
        <v>0</v>
      </c>
      <c r="AO500">
        <v>30.87</v>
      </c>
      <c r="AP500">
        <v>0</v>
      </c>
      <c r="AQ500">
        <v>0.05</v>
      </c>
      <c r="AR500">
        <v>0</v>
      </c>
      <c r="AS500">
        <v>0</v>
      </c>
      <c r="AT500">
        <v>70</v>
      </c>
      <c r="AU500">
        <v>10</v>
      </c>
      <c r="AV500">
        <v>1</v>
      </c>
      <c r="AW500">
        <v>1</v>
      </c>
      <c r="AZ500">
        <v>1</v>
      </c>
      <c r="BA500">
        <v>1</v>
      </c>
      <c r="BB500">
        <v>1</v>
      </c>
      <c r="BC500">
        <v>1</v>
      </c>
      <c r="BD500" t="s">
        <v>3</v>
      </c>
      <c r="BE500" t="s">
        <v>3</v>
      </c>
      <c r="BF500" t="s">
        <v>3</v>
      </c>
      <c r="BG500" t="s">
        <v>3</v>
      </c>
      <c r="BH500">
        <v>0</v>
      </c>
      <c r="BI500">
        <v>4</v>
      </c>
      <c r="BJ500" t="s">
        <v>230</v>
      </c>
      <c r="BM500">
        <v>0</v>
      </c>
      <c r="BN500">
        <v>0</v>
      </c>
      <c r="BO500" t="s">
        <v>3</v>
      </c>
      <c r="BP500">
        <v>0</v>
      </c>
      <c r="BQ500">
        <v>1</v>
      </c>
      <c r="BR500">
        <v>0</v>
      </c>
      <c r="BS500">
        <v>1</v>
      </c>
      <c r="BT500">
        <v>1</v>
      </c>
      <c r="BU500">
        <v>1</v>
      </c>
      <c r="BV500">
        <v>1</v>
      </c>
      <c r="BW500">
        <v>1</v>
      </c>
      <c r="BX500">
        <v>1</v>
      </c>
      <c r="BY500" t="s">
        <v>3</v>
      </c>
      <c r="BZ500">
        <v>70</v>
      </c>
      <c r="CA500">
        <v>10</v>
      </c>
      <c r="CB500" t="s">
        <v>3</v>
      </c>
      <c r="CE500">
        <v>0</v>
      </c>
      <c r="CF500">
        <v>0</v>
      </c>
      <c r="CG500">
        <v>0</v>
      </c>
      <c r="CM500">
        <v>0</v>
      </c>
      <c r="CN500" t="s">
        <v>3</v>
      </c>
      <c r="CO500">
        <v>0</v>
      </c>
      <c r="CP500">
        <f t="shared" si="263"/>
        <v>1018.71</v>
      </c>
      <c r="CQ500">
        <f t="shared" si="264"/>
        <v>0</v>
      </c>
      <c r="CR500">
        <f>(((((ET500*3))*BB500-((EU500*3))*BS500)+AE500*BS500)*AV500)</f>
        <v>0</v>
      </c>
      <c r="CS500">
        <f t="shared" si="265"/>
        <v>0</v>
      </c>
      <c r="CT500">
        <f t="shared" si="266"/>
        <v>92.61</v>
      </c>
      <c r="CU500">
        <f t="shared" si="267"/>
        <v>0</v>
      </c>
      <c r="CV500">
        <f t="shared" si="268"/>
        <v>0.15000000000000002</v>
      </c>
      <c r="CW500">
        <f t="shared" si="269"/>
        <v>0</v>
      </c>
      <c r="CX500">
        <f t="shared" si="270"/>
        <v>0</v>
      </c>
      <c r="CY500">
        <f t="shared" si="271"/>
        <v>713.09699999999998</v>
      </c>
      <c r="CZ500">
        <f t="shared" si="272"/>
        <v>101.87100000000001</v>
      </c>
      <c r="DC500" t="s">
        <v>3</v>
      </c>
      <c r="DD500" t="s">
        <v>163</v>
      </c>
      <c r="DE500" t="s">
        <v>163</v>
      </c>
      <c r="DF500" t="s">
        <v>163</v>
      </c>
      <c r="DG500" t="s">
        <v>163</v>
      </c>
      <c r="DH500" t="s">
        <v>3</v>
      </c>
      <c r="DI500" t="s">
        <v>163</v>
      </c>
      <c r="DJ500" t="s">
        <v>163</v>
      </c>
      <c r="DK500" t="s">
        <v>3</v>
      </c>
      <c r="DL500" t="s">
        <v>3</v>
      </c>
      <c r="DM500" t="s">
        <v>3</v>
      </c>
      <c r="DN500">
        <v>0</v>
      </c>
      <c r="DO500">
        <v>0</v>
      </c>
      <c r="DP500">
        <v>1</v>
      </c>
      <c r="DQ500">
        <v>1</v>
      </c>
      <c r="DU500">
        <v>16987630</v>
      </c>
      <c r="DV500" t="s">
        <v>18</v>
      </c>
      <c r="DW500" t="s">
        <v>18</v>
      </c>
      <c r="DX500">
        <v>1</v>
      </c>
      <c r="DZ500" t="s">
        <v>3</v>
      </c>
      <c r="EA500" t="s">
        <v>3</v>
      </c>
      <c r="EB500" t="s">
        <v>3</v>
      </c>
      <c r="EC500" t="s">
        <v>3</v>
      </c>
      <c r="EE500">
        <v>1441815344</v>
      </c>
      <c r="EF500">
        <v>1</v>
      </c>
      <c r="EG500" t="s">
        <v>21</v>
      </c>
      <c r="EH500">
        <v>0</v>
      </c>
      <c r="EI500" t="s">
        <v>3</v>
      </c>
      <c r="EJ500">
        <v>4</v>
      </c>
      <c r="EK500">
        <v>0</v>
      </c>
      <c r="EL500" t="s">
        <v>22</v>
      </c>
      <c r="EM500" t="s">
        <v>23</v>
      </c>
      <c r="EO500" t="s">
        <v>3</v>
      </c>
      <c r="EQ500">
        <v>1024</v>
      </c>
      <c r="ER500">
        <v>30.87</v>
      </c>
      <c r="ES500">
        <v>0</v>
      </c>
      <c r="ET500">
        <v>0</v>
      </c>
      <c r="EU500">
        <v>0</v>
      </c>
      <c r="EV500">
        <v>30.87</v>
      </c>
      <c r="EW500">
        <v>0.05</v>
      </c>
      <c r="EX500">
        <v>0</v>
      </c>
      <c r="EY500">
        <v>0</v>
      </c>
      <c r="FQ500">
        <v>0</v>
      </c>
      <c r="FR500">
        <f t="shared" si="273"/>
        <v>0</v>
      </c>
      <c r="FS500">
        <v>0</v>
      </c>
      <c r="FX500">
        <v>70</v>
      </c>
      <c r="FY500">
        <v>10</v>
      </c>
      <c r="GA500" t="s">
        <v>3</v>
      </c>
      <c r="GD500">
        <v>0</v>
      </c>
      <c r="GF500">
        <v>1105260746</v>
      </c>
      <c r="GG500">
        <v>2</v>
      </c>
      <c r="GH500">
        <v>1</v>
      </c>
      <c r="GI500">
        <v>-2</v>
      </c>
      <c r="GJ500">
        <v>0</v>
      </c>
      <c r="GK500">
        <f>ROUND(R500*(R12)/100,2)</f>
        <v>0</v>
      </c>
      <c r="GL500">
        <f t="shared" si="274"/>
        <v>0</v>
      </c>
      <c r="GM500">
        <f t="shared" si="275"/>
        <v>1833.68</v>
      </c>
      <c r="GN500">
        <f t="shared" si="276"/>
        <v>0</v>
      </c>
      <c r="GO500">
        <f t="shared" si="277"/>
        <v>0</v>
      </c>
      <c r="GP500">
        <f t="shared" si="278"/>
        <v>1833.68</v>
      </c>
      <c r="GR500">
        <v>0</v>
      </c>
      <c r="GS500">
        <v>3</v>
      </c>
      <c r="GT500">
        <v>0</v>
      </c>
      <c r="GU500" t="s">
        <v>3</v>
      </c>
      <c r="GV500">
        <f t="shared" si="279"/>
        <v>0</v>
      </c>
      <c r="GW500">
        <v>1</v>
      </c>
      <c r="GX500">
        <f t="shared" si="280"/>
        <v>0</v>
      </c>
      <c r="HA500">
        <v>0</v>
      </c>
      <c r="HB500">
        <v>0</v>
      </c>
      <c r="HC500">
        <f t="shared" si="281"/>
        <v>0</v>
      </c>
      <c r="HE500" t="s">
        <v>3</v>
      </c>
      <c r="HF500" t="s">
        <v>3</v>
      </c>
      <c r="HM500" t="s">
        <v>3</v>
      </c>
      <c r="HN500" t="s">
        <v>3</v>
      </c>
      <c r="HO500" t="s">
        <v>3</v>
      </c>
      <c r="HP500" t="s">
        <v>3</v>
      </c>
      <c r="HQ500" t="s">
        <v>3</v>
      </c>
      <c r="IK500">
        <v>0</v>
      </c>
    </row>
    <row r="501" spans="1:245" x14ac:dyDescent="0.2">
      <c r="A501">
        <v>17</v>
      </c>
      <c r="B501">
        <v>1</v>
      </c>
      <c r="C501">
        <f>ROW(SmtRes!A43)</f>
        <v>43</v>
      </c>
      <c r="D501">
        <f>ROW(EtalonRes!A117)</f>
        <v>117</v>
      </c>
      <c r="E501" t="s">
        <v>3</v>
      </c>
      <c r="F501" t="s">
        <v>231</v>
      </c>
      <c r="G501" t="s">
        <v>232</v>
      </c>
      <c r="H501" t="s">
        <v>18</v>
      </c>
      <c r="I501">
        <v>1</v>
      </c>
      <c r="J501">
        <v>0</v>
      </c>
      <c r="K501">
        <v>1</v>
      </c>
      <c r="O501">
        <f t="shared" si="249"/>
        <v>5099.96</v>
      </c>
      <c r="P501">
        <f t="shared" si="250"/>
        <v>0</v>
      </c>
      <c r="Q501">
        <f t="shared" si="251"/>
        <v>0</v>
      </c>
      <c r="R501">
        <f t="shared" si="252"/>
        <v>0</v>
      </c>
      <c r="S501">
        <f t="shared" si="253"/>
        <v>5099.96</v>
      </c>
      <c r="T501">
        <f t="shared" si="254"/>
        <v>0</v>
      </c>
      <c r="U501">
        <f t="shared" si="255"/>
        <v>8.2600000000000016</v>
      </c>
      <c r="V501">
        <f t="shared" si="256"/>
        <v>0</v>
      </c>
      <c r="W501">
        <f t="shared" si="257"/>
        <v>0</v>
      </c>
      <c r="X501">
        <f t="shared" si="258"/>
        <v>3569.97</v>
      </c>
      <c r="Y501">
        <f t="shared" si="259"/>
        <v>510</v>
      </c>
      <c r="AA501">
        <v>-1</v>
      </c>
      <c r="AB501">
        <f t="shared" si="260"/>
        <v>5099.96</v>
      </c>
      <c r="AC501">
        <f>ROUND(((ES501*118)),6)</f>
        <v>0</v>
      </c>
      <c r="AD501">
        <f>ROUND(((((ET501*118))-((EU501*118)))+AE501),6)</f>
        <v>0</v>
      </c>
      <c r="AE501">
        <f>ROUND(((EU501*118)),6)</f>
        <v>0</v>
      </c>
      <c r="AF501">
        <f>ROUND(((EV501*118)),6)</f>
        <v>5099.96</v>
      </c>
      <c r="AG501">
        <f t="shared" si="261"/>
        <v>0</v>
      </c>
      <c r="AH501">
        <f>((EW501*118))</f>
        <v>8.2600000000000016</v>
      </c>
      <c r="AI501">
        <f>((EX501*118))</f>
        <v>0</v>
      </c>
      <c r="AJ501">
        <f t="shared" si="262"/>
        <v>0</v>
      </c>
      <c r="AK501">
        <v>43.22</v>
      </c>
      <c r="AL501">
        <v>0</v>
      </c>
      <c r="AM501">
        <v>0</v>
      </c>
      <c r="AN501">
        <v>0</v>
      </c>
      <c r="AO501">
        <v>43.22</v>
      </c>
      <c r="AP501">
        <v>0</v>
      </c>
      <c r="AQ501">
        <v>7.0000000000000007E-2</v>
      </c>
      <c r="AR501">
        <v>0</v>
      </c>
      <c r="AS501">
        <v>0</v>
      </c>
      <c r="AT501">
        <v>70</v>
      </c>
      <c r="AU501">
        <v>10</v>
      </c>
      <c r="AV501">
        <v>1</v>
      </c>
      <c r="AW501">
        <v>1</v>
      </c>
      <c r="AZ501">
        <v>1</v>
      </c>
      <c r="BA501">
        <v>1</v>
      </c>
      <c r="BB501">
        <v>1</v>
      </c>
      <c r="BC501">
        <v>1</v>
      </c>
      <c r="BD501" t="s">
        <v>3</v>
      </c>
      <c r="BE501" t="s">
        <v>3</v>
      </c>
      <c r="BF501" t="s">
        <v>3</v>
      </c>
      <c r="BG501" t="s">
        <v>3</v>
      </c>
      <c r="BH501">
        <v>0</v>
      </c>
      <c r="BI501">
        <v>4</v>
      </c>
      <c r="BJ501" t="s">
        <v>233</v>
      </c>
      <c r="BM501">
        <v>0</v>
      </c>
      <c r="BN501">
        <v>0</v>
      </c>
      <c r="BO501" t="s">
        <v>3</v>
      </c>
      <c r="BP501">
        <v>0</v>
      </c>
      <c r="BQ501">
        <v>1</v>
      </c>
      <c r="BR501">
        <v>0</v>
      </c>
      <c r="BS501">
        <v>1</v>
      </c>
      <c r="BT501">
        <v>1</v>
      </c>
      <c r="BU501">
        <v>1</v>
      </c>
      <c r="BV501">
        <v>1</v>
      </c>
      <c r="BW501">
        <v>1</v>
      </c>
      <c r="BX501">
        <v>1</v>
      </c>
      <c r="BY501" t="s">
        <v>3</v>
      </c>
      <c r="BZ501">
        <v>70</v>
      </c>
      <c r="CA501">
        <v>10</v>
      </c>
      <c r="CB501" t="s">
        <v>3</v>
      </c>
      <c r="CE501">
        <v>0</v>
      </c>
      <c r="CF501">
        <v>0</v>
      </c>
      <c r="CG501">
        <v>0</v>
      </c>
      <c r="CM501">
        <v>0</v>
      </c>
      <c r="CN501" t="s">
        <v>3</v>
      </c>
      <c r="CO501">
        <v>0</v>
      </c>
      <c r="CP501">
        <f t="shared" si="263"/>
        <v>5099.96</v>
      </c>
      <c r="CQ501">
        <f t="shared" si="264"/>
        <v>0</v>
      </c>
      <c r="CR501">
        <f>(((((ET501*118))*BB501-((EU501*118))*BS501)+AE501*BS501)*AV501)</f>
        <v>0</v>
      </c>
      <c r="CS501">
        <f t="shared" si="265"/>
        <v>0</v>
      </c>
      <c r="CT501">
        <f t="shared" si="266"/>
        <v>5099.96</v>
      </c>
      <c r="CU501">
        <f t="shared" si="267"/>
        <v>0</v>
      </c>
      <c r="CV501">
        <f t="shared" si="268"/>
        <v>8.2600000000000016</v>
      </c>
      <c r="CW501">
        <f t="shared" si="269"/>
        <v>0</v>
      </c>
      <c r="CX501">
        <f t="shared" si="270"/>
        <v>0</v>
      </c>
      <c r="CY501">
        <f t="shared" si="271"/>
        <v>3569.9720000000002</v>
      </c>
      <c r="CZ501">
        <f t="shared" si="272"/>
        <v>509.99599999999998</v>
      </c>
      <c r="DC501" t="s">
        <v>3</v>
      </c>
      <c r="DD501" t="s">
        <v>209</v>
      </c>
      <c r="DE501" t="s">
        <v>209</v>
      </c>
      <c r="DF501" t="s">
        <v>209</v>
      </c>
      <c r="DG501" t="s">
        <v>209</v>
      </c>
      <c r="DH501" t="s">
        <v>3</v>
      </c>
      <c r="DI501" t="s">
        <v>209</v>
      </c>
      <c r="DJ501" t="s">
        <v>209</v>
      </c>
      <c r="DK501" t="s">
        <v>3</v>
      </c>
      <c r="DL501" t="s">
        <v>3</v>
      </c>
      <c r="DM501" t="s">
        <v>3</v>
      </c>
      <c r="DN501">
        <v>0</v>
      </c>
      <c r="DO501">
        <v>0</v>
      </c>
      <c r="DP501">
        <v>1</v>
      </c>
      <c r="DQ501">
        <v>1</v>
      </c>
      <c r="DU501">
        <v>16987630</v>
      </c>
      <c r="DV501" t="s">
        <v>18</v>
      </c>
      <c r="DW501" t="s">
        <v>18</v>
      </c>
      <c r="DX501">
        <v>1</v>
      </c>
      <c r="DZ501" t="s">
        <v>3</v>
      </c>
      <c r="EA501" t="s">
        <v>3</v>
      </c>
      <c r="EB501" t="s">
        <v>3</v>
      </c>
      <c r="EC501" t="s">
        <v>3</v>
      </c>
      <c r="EE501">
        <v>1441815344</v>
      </c>
      <c r="EF501">
        <v>1</v>
      </c>
      <c r="EG501" t="s">
        <v>21</v>
      </c>
      <c r="EH501">
        <v>0</v>
      </c>
      <c r="EI501" t="s">
        <v>3</v>
      </c>
      <c r="EJ501">
        <v>4</v>
      </c>
      <c r="EK501">
        <v>0</v>
      </c>
      <c r="EL501" t="s">
        <v>22</v>
      </c>
      <c r="EM501" t="s">
        <v>23</v>
      </c>
      <c r="EO501" t="s">
        <v>3</v>
      </c>
      <c r="EQ501">
        <v>1024</v>
      </c>
      <c r="ER501">
        <v>43.22</v>
      </c>
      <c r="ES501">
        <v>0</v>
      </c>
      <c r="ET501">
        <v>0</v>
      </c>
      <c r="EU501">
        <v>0</v>
      </c>
      <c r="EV501">
        <v>43.22</v>
      </c>
      <c r="EW501">
        <v>7.0000000000000007E-2</v>
      </c>
      <c r="EX501">
        <v>0</v>
      </c>
      <c r="EY501">
        <v>0</v>
      </c>
      <c r="FQ501">
        <v>0</v>
      </c>
      <c r="FR501">
        <f t="shared" si="273"/>
        <v>0</v>
      </c>
      <c r="FS501">
        <v>0</v>
      </c>
      <c r="FX501">
        <v>70</v>
      </c>
      <c r="FY501">
        <v>10</v>
      </c>
      <c r="GA501" t="s">
        <v>3</v>
      </c>
      <c r="GD501">
        <v>0</v>
      </c>
      <c r="GF501">
        <v>1956402981</v>
      </c>
      <c r="GG501">
        <v>2</v>
      </c>
      <c r="GH501">
        <v>1</v>
      </c>
      <c r="GI501">
        <v>-2</v>
      </c>
      <c r="GJ501">
        <v>0</v>
      </c>
      <c r="GK501">
        <f>ROUND(R501*(R12)/100,2)</f>
        <v>0</v>
      </c>
      <c r="GL501">
        <f t="shared" si="274"/>
        <v>0</v>
      </c>
      <c r="GM501">
        <f t="shared" si="275"/>
        <v>9179.93</v>
      </c>
      <c r="GN501">
        <f t="shared" si="276"/>
        <v>0</v>
      </c>
      <c r="GO501">
        <f t="shared" si="277"/>
        <v>0</v>
      </c>
      <c r="GP501">
        <f t="shared" si="278"/>
        <v>9179.93</v>
      </c>
      <c r="GR501">
        <v>0</v>
      </c>
      <c r="GS501">
        <v>3</v>
      </c>
      <c r="GT501">
        <v>0</v>
      </c>
      <c r="GU501" t="s">
        <v>3</v>
      </c>
      <c r="GV501">
        <f t="shared" si="279"/>
        <v>0</v>
      </c>
      <c r="GW501">
        <v>1</v>
      </c>
      <c r="GX501">
        <f t="shared" si="280"/>
        <v>0</v>
      </c>
      <c r="HA501">
        <v>0</v>
      </c>
      <c r="HB501">
        <v>0</v>
      </c>
      <c r="HC501">
        <f t="shared" si="281"/>
        <v>0</v>
      </c>
      <c r="HE501" t="s">
        <v>3</v>
      </c>
      <c r="HF501" t="s">
        <v>3</v>
      </c>
      <c r="HM501" t="s">
        <v>3</v>
      </c>
      <c r="HN501" t="s">
        <v>3</v>
      </c>
      <c r="HO501" t="s">
        <v>3</v>
      </c>
      <c r="HP501" t="s">
        <v>3</v>
      </c>
      <c r="HQ501" t="s">
        <v>3</v>
      </c>
      <c r="IK501">
        <v>0</v>
      </c>
    </row>
    <row r="502" spans="1:245" x14ac:dyDescent="0.2">
      <c r="A502">
        <v>17</v>
      </c>
      <c r="B502">
        <v>1</v>
      </c>
      <c r="C502">
        <f>ROW(SmtRes!A45)</f>
        <v>45</v>
      </c>
      <c r="D502">
        <f>ROW(EtalonRes!A119)</f>
        <v>119</v>
      </c>
      <c r="E502" t="s">
        <v>3</v>
      </c>
      <c r="F502" t="s">
        <v>234</v>
      </c>
      <c r="G502" t="s">
        <v>235</v>
      </c>
      <c r="H502" t="s">
        <v>18</v>
      </c>
      <c r="I502">
        <v>1</v>
      </c>
      <c r="J502">
        <v>0</v>
      </c>
      <c r="K502">
        <v>1</v>
      </c>
      <c r="O502">
        <f t="shared" si="249"/>
        <v>319.62</v>
      </c>
      <c r="P502">
        <f t="shared" si="250"/>
        <v>4.71</v>
      </c>
      <c r="Q502">
        <f t="shared" si="251"/>
        <v>0</v>
      </c>
      <c r="R502">
        <f t="shared" si="252"/>
        <v>0</v>
      </c>
      <c r="S502">
        <f t="shared" si="253"/>
        <v>314.91000000000003</v>
      </c>
      <c r="T502">
        <f t="shared" si="254"/>
        <v>0</v>
      </c>
      <c r="U502">
        <f t="shared" si="255"/>
        <v>0.51</v>
      </c>
      <c r="V502">
        <f t="shared" si="256"/>
        <v>0</v>
      </c>
      <c r="W502">
        <f t="shared" si="257"/>
        <v>0</v>
      </c>
      <c r="X502">
        <f t="shared" si="258"/>
        <v>220.44</v>
      </c>
      <c r="Y502">
        <f t="shared" si="259"/>
        <v>31.49</v>
      </c>
      <c r="AA502">
        <v>-1</v>
      </c>
      <c r="AB502">
        <f t="shared" si="260"/>
        <v>319.62</v>
      </c>
      <c r="AC502">
        <f>ROUND(((ES502*3)),6)</f>
        <v>4.71</v>
      </c>
      <c r="AD502">
        <f>ROUND(((((ET502*3))-((EU502*3)))+AE502),6)</f>
        <v>0</v>
      </c>
      <c r="AE502">
        <f>ROUND(((EU502*3)),6)</f>
        <v>0</v>
      </c>
      <c r="AF502">
        <f>ROUND(((EV502*3)),6)</f>
        <v>314.91000000000003</v>
      </c>
      <c r="AG502">
        <f t="shared" si="261"/>
        <v>0</v>
      </c>
      <c r="AH502">
        <f>((EW502*3))</f>
        <v>0.51</v>
      </c>
      <c r="AI502">
        <f>((EX502*3))</f>
        <v>0</v>
      </c>
      <c r="AJ502">
        <f t="shared" si="262"/>
        <v>0</v>
      </c>
      <c r="AK502">
        <v>106.54</v>
      </c>
      <c r="AL502">
        <v>1.57</v>
      </c>
      <c r="AM502">
        <v>0</v>
      </c>
      <c r="AN502">
        <v>0</v>
      </c>
      <c r="AO502">
        <v>104.97</v>
      </c>
      <c r="AP502">
        <v>0</v>
      </c>
      <c r="AQ502">
        <v>0.17</v>
      </c>
      <c r="AR502">
        <v>0</v>
      </c>
      <c r="AS502">
        <v>0</v>
      </c>
      <c r="AT502">
        <v>70</v>
      </c>
      <c r="AU502">
        <v>10</v>
      </c>
      <c r="AV502">
        <v>1</v>
      </c>
      <c r="AW502">
        <v>1</v>
      </c>
      <c r="AZ502">
        <v>1</v>
      </c>
      <c r="BA502">
        <v>1</v>
      </c>
      <c r="BB502">
        <v>1</v>
      </c>
      <c r="BC502">
        <v>1</v>
      </c>
      <c r="BD502" t="s">
        <v>3</v>
      </c>
      <c r="BE502" t="s">
        <v>3</v>
      </c>
      <c r="BF502" t="s">
        <v>3</v>
      </c>
      <c r="BG502" t="s">
        <v>3</v>
      </c>
      <c r="BH502">
        <v>0</v>
      </c>
      <c r="BI502">
        <v>4</v>
      </c>
      <c r="BJ502" t="s">
        <v>236</v>
      </c>
      <c r="BM502">
        <v>0</v>
      </c>
      <c r="BN502">
        <v>0</v>
      </c>
      <c r="BO502" t="s">
        <v>3</v>
      </c>
      <c r="BP502">
        <v>0</v>
      </c>
      <c r="BQ502">
        <v>1</v>
      </c>
      <c r="BR502">
        <v>0</v>
      </c>
      <c r="BS502">
        <v>1</v>
      </c>
      <c r="BT502">
        <v>1</v>
      </c>
      <c r="BU502">
        <v>1</v>
      </c>
      <c r="BV502">
        <v>1</v>
      </c>
      <c r="BW502">
        <v>1</v>
      </c>
      <c r="BX502">
        <v>1</v>
      </c>
      <c r="BY502" t="s">
        <v>3</v>
      </c>
      <c r="BZ502">
        <v>70</v>
      </c>
      <c r="CA502">
        <v>10</v>
      </c>
      <c r="CB502" t="s">
        <v>3</v>
      </c>
      <c r="CE502">
        <v>0</v>
      </c>
      <c r="CF502">
        <v>0</v>
      </c>
      <c r="CG502">
        <v>0</v>
      </c>
      <c r="CM502">
        <v>0</v>
      </c>
      <c r="CN502" t="s">
        <v>3</v>
      </c>
      <c r="CO502">
        <v>0</v>
      </c>
      <c r="CP502">
        <f t="shared" si="263"/>
        <v>319.62</v>
      </c>
      <c r="CQ502">
        <f t="shared" si="264"/>
        <v>4.71</v>
      </c>
      <c r="CR502">
        <f>(((((ET502*3))*BB502-((EU502*3))*BS502)+AE502*BS502)*AV502)</f>
        <v>0</v>
      </c>
      <c r="CS502">
        <f t="shared" si="265"/>
        <v>0</v>
      </c>
      <c r="CT502">
        <f t="shared" si="266"/>
        <v>314.91000000000003</v>
      </c>
      <c r="CU502">
        <f t="shared" si="267"/>
        <v>0</v>
      </c>
      <c r="CV502">
        <f t="shared" si="268"/>
        <v>0.51</v>
      </c>
      <c r="CW502">
        <f t="shared" si="269"/>
        <v>0</v>
      </c>
      <c r="CX502">
        <f t="shared" si="270"/>
        <v>0</v>
      </c>
      <c r="CY502">
        <f t="shared" si="271"/>
        <v>220.43700000000001</v>
      </c>
      <c r="CZ502">
        <f t="shared" si="272"/>
        <v>31.491000000000003</v>
      </c>
      <c r="DC502" t="s">
        <v>3</v>
      </c>
      <c r="DD502" t="s">
        <v>163</v>
      </c>
      <c r="DE502" t="s">
        <v>163</v>
      </c>
      <c r="DF502" t="s">
        <v>163</v>
      </c>
      <c r="DG502" t="s">
        <v>163</v>
      </c>
      <c r="DH502" t="s">
        <v>3</v>
      </c>
      <c r="DI502" t="s">
        <v>163</v>
      </c>
      <c r="DJ502" t="s">
        <v>163</v>
      </c>
      <c r="DK502" t="s">
        <v>3</v>
      </c>
      <c r="DL502" t="s">
        <v>3</v>
      </c>
      <c r="DM502" t="s">
        <v>3</v>
      </c>
      <c r="DN502">
        <v>0</v>
      </c>
      <c r="DO502">
        <v>0</v>
      </c>
      <c r="DP502">
        <v>1</v>
      </c>
      <c r="DQ502">
        <v>1</v>
      </c>
      <c r="DU502">
        <v>16987630</v>
      </c>
      <c r="DV502" t="s">
        <v>18</v>
      </c>
      <c r="DW502" t="s">
        <v>18</v>
      </c>
      <c r="DX502">
        <v>1</v>
      </c>
      <c r="DZ502" t="s">
        <v>3</v>
      </c>
      <c r="EA502" t="s">
        <v>3</v>
      </c>
      <c r="EB502" t="s">
        <v>3</v>
      </c>
      <c r="EC502" t="s">
        <v>3</v>
      </c>
      <c r="EE502">
        <v>1441815344</v>
      </c>
      <c r="EF502">
        <v>1</v>
      </c>
      <c r="EG502" t="s">
        <v>21</v>
      </c>
      <c r="EH502">
        <v>0</v>
      </c>
      <c r="EI502" t="s">
        <v>3</v>
      </c>
      <c r="EJ502">
        <v>4</v>
      </c>
      <c r="EK502">
        <v>0</v>
      </c>
      <c r="EL502" t="s">
        <v>22</v>
      </c>
      <c r="EM502" t="s">
        <v>23</v>
      </c>
      <c r="EO502" t="s">
        <v>3</v>
      </c>
      <c r="EQ502">
        <v>1024</v>
      </c>
      <c r="ER502">
        <v>106.54</v>
      </c>
      <c r="ES502">
        <v>1.57</v>
      </c>
      <c r="ET502">
        <v>0</v>
      </c>
      <c r="EU502">
        <v>0</v>
      </c>
      <c r="EV502">
        <v>104.97</v>
      </c>
      <c r="EW502">
        <v>0.17</v>
      </c>
      <c r="EX502">
        <v>0</v>
      </c>
      <c r="EY502">
        <v>0</v>
      </c>
      <c r="FQ502">
        <v>0</v>
      </c>
      <c r="FR502">
        <f t="shared" si="273"/>
        <v>0</v>
      </c>
      <c r="FS502">
        <v>0</v>
      </c>
      <c r="FX502">
        <v>70</v>
      </c>
      <c r="FY502">
        <v>10</v>
      </c>
      <c r="GA502" t="s">
        <v>3</v>
      </c>
      <c r="GD502">
        <v>0</v>
      </c>
      <c r="GF502">
        <v>1359672126</v>
      </c>
      <c r="GG502">
        <v>2</v>
      </c>
      <c r="GH502">
        <v>1</v>
      </c>
      <c r="GI502">
        <v>-2</v>
      </c>
      <c r="GJ502">
        <v>0</v>
      </c>
      <c r="GK502">
        <f>ROUND(R502*(R12)/100,2)</f>
        <v>0</v>
      </c>
      <c r="GL502">
        <f t="shared" si="274"/>
        <v>0</v>
      </c>
      <c r="GM502">
        <f t="shared" si="275"/>
        <v>571.54999999999995</v>
      </c>
      <c r="GN502">
        <f t="shared" si="276"/>
        <v>0</v>
      </c>
      <c r="GO502">
        <f t="shared" si="277"/>
        <v>0</v>
      </c>
      <c r="GP502">
        <f t="shared" si="278"/>
        <v>571.54999999999995</v>
      </c>
      <c r="GR502">
        <v>0</v>
      </c>
      <c r="GS502">
        <v>3</v>
      </c>
      <c r="GT502">
        <v>0</v>
      </c>
      <c r="GU502" t="s">
        <v>3</v>
      </c>
      <c r="GV502">
        <f t="shared" si="279"/>
        <v>0</v>
      </c>
      <c r="GW502">
        <v>1</v>
      </c>
      <c r="GX502">
        <f t="shared" si="280"/>
        <v>0</v>
      </c>
      <c r="HA502">
        <v>0</v>
      </c>
      <c r="HB502">
        <v>0</v>
      </c>
      <c r="HC502">
        <f t="shared" si="281"/>
        <v>0</v>
      </c>
      <c r="HE502" t="s">
        <v>3</v>
      </c>
      <c r="HF502" t="s">
        <v>3</v>
      </c>
      <c r="HM502" t="s">
        <v>3</v>
      </c>
      <c r="HN502" t="s">
        <v>3</v>
      </c>
      <c r="HO502" t="s">
        <v>3</v>
      </c>
      <c r="HP502" t="s">
        <v>3</v>
      </c>
      <c r="HQ502" t="s">
        <v>3</v>
      </c>
      <c r="IK502">
        <v>0</v>
      </c>
    </row>
    <row r="503" spans="1:245" x14ac:dyDescent="0.2">
      <c r="A503">
        <v>17</v>
      </c>
      <c r="B503">
        <v>1</v>
      </c>
      <c r="C503">
        <f>ROW(SmtRes!A48)</f>
        <v>48</v>
      </c>
      <c r="D503">
        <f>ROW(EtalonRes!A122)</f>
        <v>122</v>
      </c>
      <c r="E503" t="s">
        <v>237</v>
      </c>
      <c r="F503" t="s">
        <v>238</v>
      </c>
      <c r="G503" t="s">
        <v>239</v>
      </c>
      <c r="H503" t="s">
        <v>18</v>
      </c>
      <c r="I503">
        <v>1</v>
      </c>
      <c r="J503">
        <v>0</v>
      </c>
      <c r="K503">
        <v>1</v>
      </c>
      <c r="O503">
        <f t="shared" si="249"/>
        <v>306.83999999999997</v>
      </c>
      <c r="P503">
        <f t="shared" si="250"/>
        <v>0.09</v>
      </c>
      <c r="Q503">
        <f t="shared" si="251"/>
        <v>39.090000000000003</v>
      </c>
      <c r="R503">
        <f t="shared" si="252"/>
        <v>24.79</v>
      </c>
      <c r="S503">
        <f t="shared" si="253"/>
        <v>267.66000000000003</v>
      </c>
      <c r="T503">
        <f t="shared" si="254"/>
        <v>0</v>
      </c>
      <c r="U503">
        <f t="shared" si="255"/>
        <v>0.5</v>
      </c>
      <c r="V503">
        <f t="shared" si="256"/>
        <v>0</v>
      </c>
      <c r="W503">
        <f t="shared" si="257"/>
        <v>0</v>
      </c>
      <c r="X503">
        <f t="shared" si="258"/>
        <v>187.36</v>
      </c>
      <c r="Y503">
        <f t="shared" si="259"/>
        <v>26.77</v>
      </c>
      <c r="AA503">
        <v>1473080740</v>
      </c>
      <c r="AB503">
        <f t="shared" si="260"/>
        <v>306.83999999999997</v>
      </c>
      <c r="AC503">
        <f>ROUND((ES503),6)</f>
        <v>0.09</v>
      </c>
      <c r="AD503">
        <f>ROUND((((ET503)-(EU503))+AE503),6)</f>
        <v>39.090000000000003</v>
      </c>
      <c r="AE503">
        <f>ROUND((EU503),6)</f>
        <v>24.79</v>
      </c>
      <c r="AF503">
        <f>ROUND((EV503),6)</f>
        <v>267.66000000000003</v>
      </c>
      <c r="AG503">
        <f t="shared" si="261"/>
        <v>0</v>
      </c>
      <c r="AH503">
        <f>(EW503)</f>
        <v>0.5</v>
      </c>
      <c r="AI503">
        <f>(EX503)</f>
        <v>0</v>
      </c>
      <c r="AJ503">
        <f t="shared" si="262"/>
        <v>0</v>
      </c>
      <c r="AK503">
        <v>306.83999999999997</v>
      </c>
      <c r="AL503">
        <v>0.09</v>
      </c>
      <c r="AM503">
        <v>39.090000000000003</v>
      </c>
      <c r="AN503">
        <v>24.79</v>
      </c>
      <c r="AO503">
        <v>267.66000000000003</v>
      </c>
      <c r="AP503">
        <v>0</v>
      </c>
      <c r="AQ503">
        <v>0.5</v>
      </c>
      <c r="AR503">
        <v>0</v>
      </c>
      <c r="AS503">
        <v>0</v>
      </c>
      <c r="AT503">
        <v>70</v>
      </c>
      <c r="AU503">
        <v>10</v>
      </c>
      <c r="AV503">
        <v>1</v>
      </c>
      <c r="AW503">
        <v>1</v>
      </c>
      <c r="AZ503">
        <v>1</v>
      </c>
      <c r="BA503">
        <v>1</v>
      </c>
      <c r="BB503">
        <v>1</v>
      </c>
      <c r="BC503">
        <v>1</v>
      </c>
      <c r="BD503" t="s">
        <v>3</v>
      </c>
      <c r="BE503" t="s">
        <v>3</v>
      </c>
      <c r="BF503" t="s">
        <v>3</v>
      </c>
      <c r="BG503" t="s">
        <v>3</v>
      </c>
      <c r="BH503">
        <v>0</v>
      </c>
      <c r="BI503">
        <v>4</v>
      </c>
      <c r="BJ503" t="s">
        <v>240</v>
      </c>
      <c r="BM503">
        <v>0</v>
      </c>
      <c r="BN503">
        <v>0</v>
      </c>
      <c r="BO503" t="s">
        <v>3</v>
      </c>
      <c r="BP503">
        <v>0</v>
      </c>
      <c r="BQ503">
        <v>1</v>
      </c>
      <c r="BR503">
        <v>0</v>
      </c>
      <c r="BS503">
        <v>1</v>
      </c>
      <c r="BT503">
        <v>1</v>
      </c>
      <c r="BU503">
        <v>1</v>
      </c>
      <c r="BV503">
        <v>1</v>
      </c>
      <c r="BW503">
        <v>1</v>
      </c>
      <c r="BX503">
        <v>1</v>
      </c>
      <c r="BY503" t="s">
        <v>3</v>
      </c>
      <c r="BZ503">
        <v>70</v>
      </c>
      <c r="CA503">
        <v>10</v>
      </c>
      <c r="CB503" t="s">
        <v>3</v>
      </c>
      <c r="CE503">
        <v>0</v>
      </c>
      <c r="CF503">
        <v>0</v>
      </c>
      <c r="CG503">
        <v>0</v>
      </c>
      <c r="CM503">
        <v>0</v>
      </c>
      <c r="CN503" t="s">
        <v>3</v>
      </c>
      <c r="CO503">
        <v>0</v>
      </c>
      <c r="CP503">
        <f t="shared" si="263"/>
        <v>306.84000000000003</v>
      </c>
      <c r="CQ503">
        <f t="shared" si="264"/>
        <v>0.09</v>
      </c>
      <c r="CR503">
        <f>((((ET503)*BB503-(EU503)*BS503)+AE503*BS503)*AV503)</f>
        <v>39.090000000000003</v>
      </c>
      <c r="CS503">
        <f t="shared" si="265"/>
        <v>24.79</v>
      </c>
      <c r="CT503">
        <f t="shared" si="266"/>
        <v>267.66000000000003</v>
      </c>
      <c r="CU503">
        <f t="shared" si="267"/>
        <v>0</v>
      </c>
      <c r="CV503">
        <f t="shared" si="268"/>
        <v>0.5</v>
      </c>
      <c r="CW503">
        <f t="shared" si="269"/>
        <v>0</v>
      </c>
      <c r="CX503">
        <f t="shared" si="270"/>
        <v>0</v>
      </c>
      <c r="CY503">
        <f t="shared" si="271"/>
        <v>187.36199999999999</v>
      </c>
      <c r="CZ503">
        <f t="shared" si="272"/>
        <v>26.766000000000005</v>
      </c>
      <c r="DC503" t="s">
        <v>3</v>
      </c>
      <c r="DD503" t="s">
        <v>3</v>
      </c>
      <c r="DE503" t="s">
        <v>3</v>
      </c>
      <c r="DF503" t="s">
        <v>3</v>
      </c>
      <c r="DG503" t="s">
        <v>3</v>
      </c>
      <c r="DH503" t="s">
        <v>3</v>
      </c>
      <c r="DI503" t="s">
        <v>3</v>
      </c>
      <c r="DJ503" t="s">
        <v>3</v>
      </c>
      <c r="DK503" t="s">
        <v>3</v>
      </c>
      <c r="DL503" t="s">
        <v>3</v>
      </c>
      <c r="DM503" t="s">
        <v>3</v>
      </c>
      <c r="DN503">
        <v>0</v>
      </c>
      <c r="DO503">
        <v>0</v>
      </c>
      <c r="DP503">
        <v>1</v>
      </c>
      <c r="DQ503">
        <v>1</v>
      </c>
      <c r="DU503">
        <v>16987630</v>
      </c>
      <c r="DV503" t="s">
        <v>18</v>
      </c>
      <c r="DW503" t="s">
        <v>18</v>
      </c>
      <c r="DX503">
        <v>1</v>
      </c>
      <c r="DZ503" t="s">
        <v>3</v>
      </c>
      <c r="EA503" t="s">
        <v>3</v>
      </c>
      <c r="EB503" t="s">
        <v>3</v>
      </c>
      <c r="EC503" t="s">
        <v>3</v>
      </c>
      <c r="EE503">
        <v>1441815344</v>
      </c>
      <c r="EF503">
        <v>1</v>
      </c>
      <c r="EG503" t="s">
        <v>21</v>
      </c>
      <c r="EH503">
        <v>0</v>
      </c>
      <c r="EI503" t="s">
        <v>3</v>
      </c>
      <c r="EJ503">
        <v>4</v>
      </c>
      <c r="EK503">
        <v>0</v>
      </c>
      <c r="EL503" t="s">
        <v>22</v>
      </c>
      <c r="EM503" t="s">
        <v>23</v>
      </c>
      <c r="EO503" t="s">
        <v>3</v>
      </c>
      <c r="EQ503">
        <v>0</v>
      </c>
      <c r="ER503">
        <v>306.83999999999997</v>
      </c>
      <c r="ES503">
        <v>0.09</v>
      </c>
      <c r="ET503">
        <v>39.090000000000003</v>
      </c>
      <c r="EU503">
        <v>24.79</v>
      </c>
      <c r="EV503">
        <v>267.66000000000003</v>
      </c>
      <c r="EW503">
        <v>0.5</v>
      </c>
      <c r="EX503">
        <v>0</v>
      </c>
      <c r="EY503">
        <v>0</v>
      </c>
      <c r="FQ503">
        <v>0</v>
      </c>
      <c r="FR503">
        <f t="shared" si="273"/>
        <v>0</v>
      </c>
      <c r="FS503">
        <v>0</v>
      </c>
      <c r="FX503">
        <v>70</v>
      </c>
      <c r="FY503">
        <v>10</v>
      </c>
      <c r="GA503" t="s">
        <v>3</v>
      </c>
      <c r="GD503">
        <v>0</v>
      </c>
      <c r="GF503">
        <v>-1537646329</v>
      </c>
      <c r="GG503">
        <v>2</v>
      </c>
      <c r="GH503">
        <v>1</v>
      </c>
      <c r="GI503">
        <v>-2</v>
      </c>
      <c r="GJ503">
        <v>0</v>
      </c>
      <c r="GK503">
        <f>ROUND(R503*(R12)/100,2)</f>
        <v>26.77</v>
      </c>
      <c r="GL503">
        <f t="shared" si="274"/>
        <v>0</v>
      </c>
      <c r="GM503">
        <f t="shared" si="275"/>
        <v>547.74</v>
      </c>
      <c r="GN503">
        <f t="shared" si="276"/>
        <v>0</v>
      </c>
      <c r="GO503">
        <f t="shared" si="277"/>
        <v>0</v>
      </c>
      <c r="GP503">
        <f t="shared" si="278"/>
        <v>547.74</v>
      </c>
      <c r="GR503">
        <v>0</v>
      </c>
      <c r="GS503">
        <v>3</v>
      </c>
      <c r="GT503">
        <v>0</v>
      </c>
      <c r="GU503" t="s">
        <v>3</v>
      </c>
      <c r="GV503">
        <f t="shared" si="279"/>
        <v>0</v>
      </c>
      <c r="GW503">
        <v>1</v>
      </c>
      <c r="GX503">
        <f t="shared" si="280"/>
        <v>0</v>
      </c>
      <c r="HA503">
        <v>0</v>
      </c>
      <c r="HB503">
        <v>0</v>
      </c>
      <c r="HC503">
        <f t="shared" si="281"/>
        <v>0</v>
      </c>
      <c r="HE503" t="s">
        <v>3</v>
      </c>
      <c r="HF503" t="s">
        <v>3</v>
      </c>
      <c r="HM503" t="s">
        <v>3</v>
      </c>
      <c r="HN503" t="s">
        <v>3</v>
      </c>
      <c r="HO503" t="s">
        <v>3</v>
      </c>
      <c r="HP503" t="s">
        <v>3</v>
      </c>
      <c r="HQ503" t="s">
        <v>3</v>
      </c>
      <c r="IK503">
        <v>0</v>
      </c>
    </row>
    <row r="504" spans="1:245" x14ac:dyDescent="0.2">
      <c r="A504">
        <v>17</v>
      </c>
      <c r="B504">
        <v>1</v>
      </c>
      <c r="D504">
        <f>ROW(EtalonRes!A123)</f>
        <v>123</v>
      </c>
      <c r="E504" t="s">
        <v>3</v>
      </c>
      <c r="F504" t="s">
        <v>213</v>
      </c>
      <c r="G504" t="s">
        <v>214</v>
      </c>
      <c r="H504" t="s">
        <v>18</v>
      </c>
      <c r="I504">
        <v>1</v>
      </c>
      <c r="J504">
        <v>0</v>
      </c>
      <c r="K504">
        <v>1</v>
      </c>
      <c r="O504">
        <f t="shared" si="249"/>
        <v>14314.15</v>
      </c>
      <c r="P504">
        <f t="shared" si="250"/>
        <v>0</v>
      </c>
      <c r="Q504">
        <f t="shared" si="251"/>
        <v>0</v>
      </c>
      <c r="R504">
        <f t="shared" si="252"/>
        <v>0</v>
      </c>
      <c r="S504">
        <f t="shared" si="253"/>
        <v>14314.15</v>
      </c>
      <c r="T504">
        <f t="shared" si="254"/>
        <v>0</v>
      </c>
      <c r="U504">
        <f t="shared" si="255"/>
        <v>28.240000000000002</v>
      </c>
      <c r="V504">
        <f t="shared" si="256"/>
        <v>0</v>
      </c>
      <c r="W504">
        <f t="shared" si="257"/>
        <v>0</v>
      </c>
      <c r="X504">
        <f t="shared" si="258"/>
        <v>10019.91</v>
      </c>
      <c r="Y504">
        <f t="shared" si="259"/>
        <v>1431.42</v>
      </c>
      <c r="AA504">
        <v>-1</v>
      </c>
      <c r="AB504">
        <f t="shared" si="260"/>
        <v>14314.15</v>
      </c>
      <c r="AC504">
        <f>ROUND(((ES504*353)),6)</f>
        <v>0</v>
      </c>
      <c r="AD504">
        <f>ROUND(((((ET504*353))-((EU504*353)))+AE504),6)</f>
        <v>0</v>
      </c>
      <c r="AE504">
        <f>ROUND(((EU504*353)),6)</f>
        <v>0</v>
      </c>
      <c r="AF504">
        <f>ROUND(((EV504*353)),6)</f>
        <v>14314.15</v>
      </c>
      <c r="AG504">
        <f t="shared" si="261"/>
        <v>0</v>
      </c>
      <c r="AH504">
        <f>((EW504*353))</f>
        <v>28.240000000000002</v>
      </c>
      <c r="AI504">
        <f>((EX504*353))</f>
        <v>0</v>
      </c>
      <c r="AJ504">
        <f t="shared" si="262"/>
        <v>0</v>
      </c>
      <c r="AK504">
        <v>40.549999999999997</v>
      </c>
      <c r="AL504">
        <v>0</v>
      </c>
      <c r="AM504">
        <v>0</v>
      </c>
      <c r="AN504">
        <v>0</v>
      </c>
      <c r="AO504">
        <v>40.549999999999997</v>
      </c>
      <c r="AP504">
        <v>0</v>
      </c>
      <c r="AQ504">
        <v>0.08</v>
      </c>
      <c r="AR504">
        <v>0</v>
      </c>
      <c r="AS504">
        <v>0</v>
      </c>
      <c r="AT504">
        <v>70</v>
      </c>
      <c r="AU504">
        <v>10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1</v>
      </c>
      <c r="BD504" t="s">
        <v>3</v>
      </c>
      <c r="BE504" t="s">
        <v>3</v>
      </c>
      <c r="BF504" t="s">
        <v>3</v>
      </c>
      <c r="BG504" t="s">
        <v>3</v>
      </c>
      <c r="BH504">
        <v>0</v>
      </c>
      <c r="BI504">
        <v>4</v>
      </c>
      <c r="BJ504" t="s">
        <v>215</v>
      </c>
      <c r="BM504">
        <v>0</v>
      </c>
      <c r="BN504">
        <v>0</v>
      </c>
      <c r="BO504" t="s">
        <v>3</v>
      </c>
      <c r="BP504">
        <v>0</v>
      </c>
      <c r="BQ504">
        <v>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70</v>
      </c>
      <c r="CA504">
        <v>10</v>
      </c>
      <c r="CB504" t="s">
        <v>3</v>
      </c>
      <c r="CE504">
        <v>0</v>
      </c>
      <c r="CF504">
        <v>0</v>
      </c>
      <c r="CG504">
        <v>0</v>
      </c>
      <c r="CM504">
        <v>0</v>
      </c>
      <c r="CN504" t="s">
        <v>3</v>
      </c>
      <c r="CO504">
        <v>0</v>
      </c>
      <c r="CP504">
        <f t="shared" si="263"/>
        <v>14314.15</v>
      </c>
      <c r="CQ504">
        <f t="shared" si="264"/>
        <v>0</v>
      </c>
      <c r="CR504">
        <f>(((((ET504*353))*BB504-((EU504*353))*BS504)+AE504*BS504)*AV504)</f>
        <v>0</v>
      </c>
      <c r="CS504">
        <f t="shared" si="265"/>
        <v>0</v>
      </c>
      <c r="CT504">
        <f t="shared" si="266"/>
        <v>14314.15</v>
      </c>
      <c r="CU504">
        <f t="shared" si="267"/>
        <v>0</v>
      </c>
      <c r="CV504">
        <f t="shared" si="268"/>
        <v>28.240000000000002</v>
      </c>
      <c r="CW504">
        <f t="shared" si="269"/>
        <v>0</v>
      </c>
      <c r="CX504">
        <f t="shared" si="270"/>
        <v>0</v>
      </c>
      <c r="CY504">
        <f t="shared" si="271"/>
        <v>10019.905000000001</v>
      </c>
      <c r="CZ504">
        <f t="shared" si="272"/>
        <v>1431.415</v>
      </c>
      <c r="DC504" t="s">
        <v>3</v>
      </c>
      <c r="DD504" t="s">
        <v>216</v>
      </c>
      <c r="DE504" t="s">
        <v>216</v>
      </c>
      <c r="DF504" t="s">
        <v>216</v>
      </c>
      <c r="DG504" t="s">
        <v>216</v>
      </c>
      <c r="DH504" t="s">
        <v>3</v>
      </c>
      <c r="DI504" t="s">
        <v>216</v>
      </c>
      <c r="DJ504" t="s">
        <v>216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16987630</v>
      </c>
      <c r="DV504" t="s">
        <v>18</v>
      </c>
      <c r="DW504" t="s">
        <v>18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1441815344</v>
      </c>
      <c r="EF504">
        <v>1</v>
      </c>
      <c r="EG504" t="s">
        <v>21</v>
      </c>
      <c r="EH504">
        <v>0</v>
      </c>
      <c r="EI504" t="s">
        <v>3</v>
      </c>
      <c r="EJ504">
        <v>4</v>
      </c>
      <c r="EK504">
        <v>0</v>
      </c>
      <c r="EL504" t="s">
        <v>22</v>
      </c>
      <c r="EM504" t="s">
        <v>23</v>
      </c>
      <c r="EO504" t="s">
        <v>3</v>
      </c>
      <c r="EQ504">
        <v>1311744</v>
      </c>
      <c r="ER504">
        <v>40.549999999999997</v>
      </c>
      <c r="ES504">
        <v>0</v>
      </c>
      <c r="ET504">
        <v>0</v>
      </c>
      <c r="EU504">
        <v>0</v>
      </c>
      <c r="EV504">
        <v>40.549999999999997</v>
      </c>
      <c r="EW504">
        <v>0.08</v>
      </c>
      <c r="EX504">
        <v>0</v>
      </c>
      <c r="EY504">
        <v>0</v>
      </c>
      <c r="FQ504">
        <v>0</v>
      </c>
      <c r="FR504">
        <f t="shared" si="273"/>
        <v>0</v>
      </c>
      <c r="FS504">
        <v>0</v>
      </c>
      <c r="FX504">
        <v>70</v>
      </c>
      <c r="FY504">
        <v>10</v>
      </c>
      <c r="GA504" t="s">
        <v>3</v>
      </c>
      <c r="GD504">
        <v>0</v>
      </c>
      <c r="GF504">
        <v>-760003618</v>
      </c>
      <c r="GG504">
        <v>2</v>
      </c>
      <c r="GH504">
        <v>1</v>
      </c>
      <c r="GI504">
        <v>-2</v>
      </c>
      <c r="GJ504">
        <v>0</v>
      </c>
      <c r="GK504">
        <f>ROUND(R504*(R12)/100,2)</f>
        <v>0</v>
      </c>
      <c r="GL504">
        <f t="shared" si="274"/>
        <v>0</v>
      </c>
      <c r="GM504">
        <f t="shared" si="275"/>
        <v>25765.48</v>
      </c>
      <c r="GN504">
        <f t="shared" si="276"/>
        <v>0</v>
      </c>
      <c r="GO504">
        <f t="shared" si="277"/>
        <v>0</v>
      </c>
      <c r="GP504">
        <f t="shared" si="278"/>
        <v>25765.48</v>
      </c>
      <c r="GR504">
        <v>0</v>
      </c>
      <c r="GS504">
        <v>3</v>
      </c>
      <c r="GT504">
        <v>0</v>
      </c>
      <c r="GU504" t="s">
        <v>3</v>
      </c>
      <c r="GV504">
        <f t="shared" si="279"/>
        <v>0</v>
      </c>
      <c r="GW504">
        <v>1</v>
      </c>
      <c r="GX504">
        <f t="shared" si="280"/>
        <v>0</v>
      </c>
      <c r="HA504">
        <v>0</v>
      </c>
      <c r="HB504">
        <v>0</v>
      </c>
      <c r="HC504">
        <f t="shared" si="281"/>
        <v>0</v>
      </c>
      <c r="HE504" t="s">
        <v>3</v>
      </c>
      <c r="HF504" t="s">
        <v>3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45" x14ac:dyDescent="0.2">
      <c r="A505">
        <v>17</v>
      </c>
      <c r="B505">
        <v>1</v>
      </c>
      <c r="D505">
        <f>ROW(EtalonRes!A124)</f>
        <v>124</v>
      </c>
      <c r="E505" t="s">
        <v>3</v>
      </c>
      <c r="F505" t="s">
        <v>217</v>
      </c>
      <c r="G505" t="s">
        <v>218</v>
      </c>
      <c r="H505" t="s">
        <v>18</v>
      </c>
      <c r="I505">
        <v>1</v>
      </c>
      <c r="J505">
        <v>0</v>
      </c>
      <c r="K505">
        <v>1</v>
      </c>
      <c r="O505">
        <f t="shared" si="249"/>
        <v>283.83999999999997</v>
      </c>
      <c r="P505">
        <f t="shared" si="250"/>
        <v>0</v>
      </c>
      <c r="Q505">
        <f t="shared" si="251"/>
        <v>0</v>
      </c>
      <c r="R505">
        <f t="shared" si="252"/>
        <v>0</v>
      </c>
      <c r="S505">
        <f t="shared" si="253"/>
        <v>283.83999999999997</v>
      </c>
      <c r="T505">
        <f t="shared" si="254"/>
        <v>0</v>
      </c>
      <c r="U505">
        <f t="shared" si="255"/>
        <v>0.56000000000000005</v>
      </c>
      <c r="V505">
        <f t="shared" si="256"/>
        <v>0</v>
      </c>
      <c r="W505">
        <f t="shared" si="257"/>
        <v>0</v>
      </c>
      <c r="X505">
        <f t="shared" si="258"/>
        <v>198.69</v>
      </c>
      <c r="Y505">
        <f t="shared" si="259"/>
        <v>28.38</v>
      </c>
      <c r="AA505">
        <v>-1</v>
      </c>
      <c r="AB505">
        <f t="shared" si="260"/>
        <v>283.83999999999997</v>
      </c>
      <c r="AC505">
        <f>ROUND(((ES505*4)),6)</f>
        <v>0</v>
      </c>
      <c r="AD505">
        <f>ROUND(((((ET505*4))-((EU505*4)))+AE505),6)</f>
        <v>0</v>
      </c>
      <c r="AE505">
        <f>ROUND(((EU505*4)),6)</f>
        <v>0</v>
      </c>
      <c r="AF505">
        <f>ROUND(((EV505*4)),6)</f>
        <v>283.83999999999997</v>
      </c>
      <c r="AG505">
        <f t="shared" si="261"/>
        <v>0</v>
      </c>
      <c r="AH505">
        <f>((EW505*4))</f>
        <v>0.56000000000000005</v>
      </c>
      <c r="AI505">
        <f>((EX505*4))</f>
        <v>0</v>
      </c>
      <c r="AJ505">
        <f t="shared" si="262"/>
        <v>0</v>
      </c>
      <c r="AK505">
        <v>70.959999999999994</v>
      </c>
      <c r="AL505">
        <v>0</v>
      </c>
      <c r="AM505">
        <v>0</v>
      </c>
      <c r="AN505">
        <v>0</v>
      </c>
      <c r="AO505">
        <v>70.959999999999994</v>
      </c>
      <c r="AP505">
        <v>0</v>
      </c>
      <c r="AQ505">
        <v>0.14000000000000001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219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si="263"/>
        <v>283.83999999999997</v>
      </c>
      <c r="CQ505">
        <f t="shared" si="264"/>
        <v>0</v>
      </c>
      <c r="CR505">
        <f>(((((ET505*4))*BB505-((EU505*4))*BS505)+AE505*BS505)*AV505)</f>
        <v>0</v>
      </c>
      <c r="CS505">
        <f t="shared" si="265"/>
        <v>0</v>
      </c>
      <c r="CT505">
        <f t="shared" si="266"/>
        <v>283.83999999999997</v>
      </c>
      <c r="CU505">
        <f t="shared" si="267"/>
        <v>0</v>
      </c>
      <c r="CV505">
        <f t="shared" si="268"/>
        <v>0.56000000000000005</v>
      </c>
      <c r="CW505">
        <f t="shared" si="269"/>
        <v>0</v>
      </c>
      <c r="CX505">
        <f t="shared" si="270"/>
        <v>0</v>
      </c>
      <c r="CY505">
        <f t="shared" si="271"/>
        <v>198.68799999999999</v>
      </c>
      <c r="CZ505">
        <f t="shared" si="272"/>
        <v>28.383999999999997</v>
      </c>
      <c r="DC505" t="s">
        <v>3</v>
      </c>
      <c r="DD505" t="s">
        <v>28</v>
      </c>
      <c r="DE505" t="s">
        <v>28</v>
      </c>
      <c r="DF505" t="s">
        <v>28</v>
      </c>
      <c r="DG505" t="s">
        <v>28</v>
      </c>
      <c r="DH505" t="s">
        <v>3</v>
      </c>
      <c r="DI505" t="s">
        <v>28</v>
      </c>
      <c r="DJ505" t="s">
        <v>28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18</v>
      </c>
      <c r="DW505" t="s">
        <v>18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21</v>
      </c>
      <c r="EH505">
        <v>0</v>
      </c>
      <c r="EI505" t="s">
        <v>3</v>
      </c>
      <c r="EJ505">
        <v>4</v>
      </c>
      <c r="EK505">
        <v>0</v>
      </c>
      <c r="EL505" t="s">
        <v>22</v>
      </c>
      <c r="EM505" t="s">
        <v>23</v>
      </c>
      <c r="EO505" t="s">
        <v>3</v>
      </c>
      <c r="EQ505">
        <v>1024</v>
      </c>
      <c r="ER505">
        <v>70.959999999999994</v>
      </c>
      <c r="ES505">
        <v>0</v>
      </c>
      <c r="ET505">
        <v>0</v>
      </c>
      <c r="EU505">
        <v>0</v>
      </c>
      <c r="EV505">
        <v>70.959999999999994</v>
      </c>
      <c r="EW505">
        <v>0.14000000000000001</v>
      </c>
      <c r="EX505">
        <v>0</v>
      </c>
      <c r="EY505">
        <v>0</v>
      </c>
      <c r="FQ505">
        <v>0</v>
      </c>
      <c r="FR505">
        <f t="shared" si="273"/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-1648066009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 t="shared" si="274"/>
        <v>0</v>
      </c>
      <c r="GM505">
        <f t="shared" si="275"/>
        <v>510.91</v>
      </c>
      <c r="GN505">
        <f t="shared" si="276"/>
        <v>0</v>
      </c>
      <c r="GO505">
        <f t="shared" si="277"/>
        <v>0</v>
      </c>
      <c r="GP505">
        <f t="shared" si="278"/>
        <v>510.91</v>
      </c>
      <c r="GR505">
        <v>0</v>
      </c>
      <c r="GS505">
        <v>3</v>
      </c>
      <c r="GT505">
        <v>0</v>
      </c>
      <c r="GU505" t="s">
        <v>3</v>
      </c>
      <c r="GV505">
        <f t="shared" si="279"/>
        <v>0</v>
      </c>
      <c r="GW505">
        <v>1</v>
      </c>
      <c r="GX505">
        <f t="shared" si="280"/>
        <v>0</v>
      </c>
      <c r="HA505">
        <v>0</v>
      </c>
      <c r="HB505">
        <v>0</v>
      </c>
      <c r="HC505">
        <f t="shared" si="281"/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D506">
        <f>ROW(EtalonRes!A126)</f>
        <v>126</v>
      </c>
      <c r="E506" t="s">
        <v>241</v>
      </c>
      <c r="F506" t="s">
        <v>221</v>
      </c>
      <c r="G506" t="s">
        <v>222</v>
      </c>
      <c r="H506" t="s">
        <v>18</v>
      </c>
      <c r="I506">
        <v>1</v>
      </c>
      <c r="J506">
        <v>0</v>
      </c>
      <c r="K506">
        <v>1</v>
      </c>
      <c r="O506">
        <f t="shared" si="249"/>
        <v>338.88</v>
      </c>
      <c r="P506">
        <f t="shared" si="250"/>
        <v>1.57</v>
      </c>
      <c r="Q506">
        <f t="shared" si="251"/>
        <v>0</v>
      </c>
      <c r="R506">
        <f t="shared" si="252"/>
        <v>0</v>
      </c>
      <c r="S506">
        <f t="shared" si="253"/>
        <v>337.31</v>
      </c>
      <c r="T506">
        <f t="shared" si="254"/>
        <v>0</v>
      </c>
      <c r="U506">
        <f t="shared" si="255"/>
        <v>0.6</v>
      </c>
      <c r="V506">
        <f t="shared" si="256"/>
        <v>0</v>
      </c>
      <c r="W506">
        <f t="shared" si="257"/>
        <v>0</v>
      </c>
      <c r="X506">
        <f t="shared" si="258"/>
        <v>236.12</v>
      </c>
      <c r="Y506">
        <f t="shared" si="259"/>
        <v>33.729999999999997</v>
      </c>
      <c r="AA506">
        <v>1473080740</v>
      </c>
      <c r="AB506">
        <f t="shared" si="260"/>
        <v>338.88</v>
      </c>
      <c r="AC506">
        <f>ROUND((ES506),6)</f>
        <v>1.57</v>
      </c>
      <c r="AD506">
        <f>ROUND((((ET506)-(EU506))+AE506),6)</f>
        <v>0</v>
      </c>
      <c r="AE506">
        <f>ROUND((EU506),6)</f>
        <v>0</v>
      </c>
      <c r="AF506">
        <f>ROUND((EV506),6)</f>
        <v>337.31</v>
      </c>
      <c r="AG506">
        <f t="shared" si="261"/>
        <v>0</v>
      </c>
      <c r="AH506">
        <f>(EW506)</f>
        <v>0.6</v>
      </c>
      <c r="AI506">
        <f>(EX506)</f>
        <v>0</v>
      </c>
      <c r="AJ506">
        <f t="shared" si="262"/>
        <v>0</v>
      </c>
      <c r="AK506">
        <v>338.88</v>
      </c>
      <c r="AL506">
        <v>1.57</v>
      </c>
      <c r="AM506">
        <v>0</v>
      </c>
      <c r="AN506">
        <v>0</v>
      </c>
      <c r="AO506">
        <v>337.31</v>
      </c>
      <c r="AP506">
        <v>0</v>
      </c>
      <c r="AQ506">
        <v>0.6</v>
      </c>
      <c r="AR506">
        <v>0</v>
      </c>
      <c r="AS506">
        <v>0</v>
      </c>
      <c r="AT506">
        <v>70</v>
      </c>
      <c r="AU506">
        <v>10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1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4</v>
      </c>
      <c r="BJ506" t="s">
        <v>223</v>
      </c>
      <c r="BM506">
        <v>0</v>
      </c>
      <c r="BN506">
        <v>0</v>
      </c>
      <c r="BO506" t="s">
        <v>3</v>
      </c>
      <c r="BP506">
        <v>0</v>
      </c>
      <c r="BQ506">
        <v>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70</v>
      </c>
      <c r="CA506">
        <v>10</v>
      </c>
      <c r="CB506" t="s">
        <v>3</v>
      </c>
      <c r="CE506">
        <v>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263"/>
        <v>338.88</v>
      </c>
      <c r="CQ506">
        <f t="shared" si="264"/>
        <v>1.57</v>
      </c>
      <c r="CR506">
        <f>((((ET506)*BB506-(EU506)*BS506)+AE506*BS506)*AV506)</f>
        <v>0</v>
      </c>
      <c r="CS506">
        <f t="shared" si="265"/>
        <v>0</v>
      </c>
      <c r="CT506">
        <f t="shared" si="266"/>
        <v>337.31</v>
      </c>
      <c r="CU506">
        <f t="shared" si="267"/>
        <v>0</v>
      </c>
      <c r="CV506">
        <f t="shared" si="268"/>
        <v>0.6</v>
      </c>
      <c r="CW506">
        <f t="shared" si="269"/>
        <v>0</v>
      </c>
      <c r="CX506">
        <f t="shared" si="270"/>
        <v>0</v>
      </c>
      <c r="CY506">
        <f t="shared" si="271"/>
        <v>236.11700000000002</v>
      </c>
      <c r="CZ506">
        <f t="shared" si="272"/>
        <v>33.731000000000002</v>
      </c>
      <c r="DC506" t="s">
        <v>3</v>
      </c>
      <c r="DD506" t="s">
        <v>3</v>
      </c>
      <c r="DE506" t="s">
        <v>3</v>
      </c>
      <c r="DF506" t="s">
        <v>3</v>
      </c>
      <c r="DG506" t="s">
        <v>3</v>
      </c>
      <c r="DH506" t="s">
        <v>3</v>
      </c>
      <c r="DI506" t="s">
        <v>3</v>
      </c>
      <c r="DJ506" t="s">
        <v>3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16987630</v>
      </c>
      <c r="DV506" t="s">
        <v>18</v>
      </c>
      <c r="DW506" t="s">
        <v>18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1441815344</v>
      </c>
      <c r="EF506">
        <v>1</v>
      </c>
      <c r="EG506" t="s">
        <v>21</v>
      </c>
      <c r="EH506">
        <v>0</v>
      </c>
      <c r="EI506" t="s">
        <v>3</v>
      </c>
      <c r="EJ506">
        <v>4</v>
      </c>
      <c r="EK506">
        <v>0</v>
      </c>
      <c r="EL506" t="s">
        <v>22</v>
      </c>
      <c r="EM506" t="s">
        <v>23</v>
      </c>
      <c r="EO506" t="s">
        <v>3</v>
      </c>
      <c r="EQ506">
        <v>0</v>
      </c>
      <c r="ER506">
        <v>338.88</v>
      </c>
      <c r="ES506">
        <v>1.57</v>
      </c>
      <c r="ET506">
        <v>0</v>
      </c>
      <c r="EU506">
        <v>0</v>
      </c>
      <c r="EV506">
        <v>337.31</v>
      </c>
      <c r="EW506">
        <v>0.6</v>
      </c>
      <c r="EX506">
        <v>0</v>
      </c>
      <c r="EY506">
        <v>0</v>
      </c>
      <c r="FQ506">
        <v>0</v>
      </c>
      <c r="FR506">
        <f t="shared" si="273"/>
        <v>0</v>
      </c>
      <c r="FS506">
        <v>0</v>
      </c>
      <c r="FX506">
        <v>70</v>
      </c>
      <c r="FY506">
        <v>10</v>
      </c>
      <c r="GA506" t="s">
        <v>3</v>
      </c>
      <c r="GD506">
        <v>0</v>
      </c>
      <c r="GF506">
        <v>595984218</v>
      </c>
      <c r="GG506">
        <v>2</v>
      </c>
      <c r="GH506">
        <v>1</v>
      </c>
      <c r="GI506">
        <v>-2</v>
      </c>
      <c r="GJ506">
        <v>0</v>
      </c>
      <c r="GK506">
        <f>ROUND(R506*(R12)/100,2)</f>
        <v>0</v>
      </c>
      <c r="GL506">
        <f t="shared" si="274"/>
        <v>0</v>
      </c>
      <c r="GM506">
        <f t="shared" si="275"/>
        <v>608.73</v>
      </c>
      <c r="GN506">
        <f t="shared" si="276"/>
        <v>0</v>
      </c>
      <c r="GO506">
        <f t="shared" si="277"/>
        <v>0</v>
      </c>
      <c r="GP506">
        <f t="shared" si="278"/>
        <v>608.73</v>
      </c>
      <c r="GR506">
        <v>0</v>
      </c>
      <c r="GS506">
        <v>3</v>
      </c>
      <c r="GT506">
        <v>0</v>
      </c>
      <c r="GU506" t="s">
        <v>3</v>
      </c>
      <c r="GV506">
        <f t="shared" si="279"/>
        <v>0</v>
      </c>
      <c r="GW506">
        <v>1</v>
      </c>
      <c r="GX506">
        <f t="shared" si="280"/>
        <v>0</v>
      </c>
      <c r="HA506">
        <v>0</v>
      </c>
      <c r="HB506">
        <v>0</v>
      </c>
      <c r="HC506">
        <f t="shared" si="281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D507">
        <f>ROW(EtalonRes!A132)</f>
        <v>132</v>
      </c>
      <c r="E507" t="s">
        <v>242</v>
      </c>
      <c r="F507" t="s">
        <v>225</v>
      </c>
      <c r="G507" t="s">
        <v>226</v>
      </c>
      <c r="H507" t="s">
        <v>18</v>
      </c>
      <c r="I507">
        <v>4</v>
      </c>
      <c r="J507">
        <v>0</v>
      </c>
      <c r="K507">
        <v>4</v>
      </c>
      <c r="O507">
        <f t="shared" si="249"/>
        <v>3754.48</v>
      </c>
      <c r="P507">
        <f t="shared" si="250"/>
        <v>49.56</v>
      </c>
      <c r="Q507">
        <f t="shared" si="251"/>
        <v>0</v>
      </c>
      <c r="R507">
        <f t="shared" si="252"/>
        <v>0</v>
      </c>
      <c r="S507">
        <f t="shared" si="253"/>
        <v>3704.92</v>
      </c>
      <c r="T507">
        <f t="shared" si="254"/>
        <v>0</v>
      </c>
      <c r="U507">
        <f t="shared" si="255"/>
        <v>6</v>
      </c>
      <c r="V507">
        <f t="shared" si="256"/>
        <v>0</v>
      </c>
      <c r="W507">
        <f t="shared" si="257"/>
        <v>0</v>
      </c>
      <c r="X507">
        <f t="shared" si="258"/>
        <v>2593.44</v>
      </c>
      <c r="Y507">
        <f t="shared" si="259"/>
        <v>370.49</v>
      </c>
      <c r="AA507">
        <v>1473080740</v>
      </c>
      <c r="AB507">
        <f t="shared" si="260"/>
        <v>938.62</v>
      </c>
      <c r="AC507">
        <f>ROUND((ES507),6)</f>
        <v>12.39</v>
      </c>
      <c r="AD507">
        <f>ROUND((((ET507)-(EU507))+AE507),6)</f>
        <v>0</v>
      </c>
      <c r="AE507">
        <f>ROUND((EU507),6)</f>
        <v>0</v>
      </c>
      <c r="AF507">
        <f>ROUND((EV507),6)</f>
        <v>926.23</v>
      </c>
      <c r="AG507">
        <f t="shared" si="261"/>
        <v>0</v>
      </c>
      <c r="AH507">
        <f>(EW507)</f>
        <v>1.5</v>
      </c>
      <c r="AI507">
        <f>(EX507)</f>
        <v>0</v>
      </c>
      <c r="AJ507">
        <f t="shared" si="262"/>
        <v>0</v>
      </c>
      <c r="AK507">
        <v>938.62</v>
      </c>
      <c r="AL507">
        <v>12.39</v>
      </c>
      <c r="AM507">
        <v>0</v>
      </c>
      <c r="AN507">
        <v>0</v>
      </c>
      <c r="AO507">
        <v>926.23</v>
      </c>
      <c r="AP507">
        <v>0</v>
      </c>
      <c r="AQ507">
        <v>1.5</v>
      </c>
      <c r="AR507">
        <v>0</v>
      </c>
      <c r="AS507">
        <v>0</v>
      </c>
      <c r="AT507">
        <v>70</v>
      </c>
      <c r="AU507">
        <v>10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1</v>
      </c>
      <c r="BD507" t="s">
        <v>3</v>
      </c>
      <c r="BE507" t="s">
        <v>3</v>
      </c>
      <c r="BF507" t="s">
        <v>3</v>
      </c>
      <c r="BG507" t="s">
        <v>3</v>
      </c>
      <c r="BH507">
        <v>0</v>
      </c>
      <c r="BI507">
        <v>4</v>
      </c>
      <c r="BJ507" t="s">
        <v>227</v>
      </c>
      <c r="BM507">
        <v>0</v>
      </c>
      <c r="BN507">
        <v>0</v>
      </c>
      <c r="BO507" t="s">
        <v>3</v>
      </c>
      <c r="BP507">
        <v>0</v>
      </c>
      <c r="BQ507">
        <v>1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70</v>
      </c>
      <c r="CA507">
        <v>10</v>
      </c>
      <c r="CB507" t="s">
        <v>3</v>
      </c>
      <c r="CE507">
        <v>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263"/>
        <v>3754.48</v>
      </c>
      <c r="CQ507">
        <f t="shared" si="264"/>
        <v>12.39</v>
      </c>
      <c r="CR507">
        <f>((((ET507)*BB507-(EU507)*BS507)+AE507*BS507)*AV507)</f>
        <v>0</v>
      </c>
      <c r="CS507">
        <f t="shared" si="265"/>
        <v>0</v>
      </c>
      <c r="CT507">
        <f t="shared" si="266"/>
        <v>926.23</v>
      </c>
      <c r="CU507">
        <f t="shared" si="267"/>
        <v>0</v>
      </c>
      <c r="CV507">
        <f t="shared" si="268"/>
        <v>1.5</v>
      </c>
      <c r="CW507">
        <f t="shared" si="269"/>
        <v>0</v>
      </c>
      <c r="CX507">
        <f t="shared" si="270"/>
        <v>0</v>
      </c>
      <c r="CY507">
        <f t="shared" si="271"/>
        <v>2593.444</v>
      </c>
      <c r="CZ507">
        <f t="shared" si="272"/>
        <v>370.49199999999996</v>
      </c>
      <c r="DC507" t="s">
        <v>3</v>
      </c>
      <c r="DD507" t="s">
        <v>3</v>
      </c>
      <c r="DE507" t="s">
        <v>3</v>
      </c>
      <c r="DF507" t="s">
        <v>3</v>
      </c>
      <c r="DG507" t="s">
        <v>3</v>
      </c>
      <c r="DH507" t="s">
        <v>3</v>
      </c>
      <c r="DI507" t="s">
        <v>3</v>
      </c>
      <c r="DJ507" t="s">
        <v>3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16987630</v>
      </c>
      <c r="DV507" t="s">
        <v>18</v>
      </c>
      <c r="DW507" t="s">
        <v>18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1441815344</v>
      </c>
      <c r="EF507">
        <v>1</v>
      </c>
      <c r="EG507" t="s">
        <v>21</v>
      </c>
      <c r="EH507">
        <v>0</v>
      </c>
      <c r="EI507" t="s">
        <v>3</v>
      </c>
      <c r="EJ507">
        <v>4</v>
      </c>
      <c r="EK507">
        <v>0</v>
      </c>
      <c r="EL507" t="s">
        <v>22</v>
      </c>
      <c r="EM507" t="s">
        <v>23</v>
      </c>
      <c r="EO507" t="s">
        <v>3</v>
      </c>
      <c r="EQ507">
        <v>0</v>
      </c>
      <c r="ER507">
        <v>938.62</v>
      </c>
      <c r="ES507">
        <v>12.39</v>
      </c>
      <c r="ET507">
        <v>0</v>
      </c>
      <c r="EU507">
        <v>0</v>
      </c>
      <c r="EV507">
        <v>926.23</v>
      </c>
      <c r="EW507">
        <v>1.5</v>
      </c>
      <c r="EX507">
        <v>0</v>
      </c>
      <c r="EY507">
        <v>0</v>
      </c>
      <c r="FQ507">
        <v>0</v>
      </c>
      <c r="FR507">
        <f t="shared" si="273"/>
        <v>0</v>
      </c>
      <c r="FS507">
        <v>0</v>
      </c>
      <c r="FX507">
        <v>70</v>
      </c>
      <c r="FY507">
        <v>10</v>
      </c>
      <c r="GA507" t="s">
        <v>3</v>
      </c>
      <c r="GD507">
        <v>0</v>
      </c>
      <c r="GF507">
        <v>-1527887975</v>
      </c>
      <c r="GG507">
        <v>2</v>
      </c>
      <c r="GH507">
        <v>1</v>
      </c>
      <c r="GI507">
        <v>-2</v>
      </c>
      <c r="GJ507">
        <v>0</v>
      </c>
      <c r="GK507">
        <f>ROUND(R507*(R12)/100,2)</f>
        <v>0</v>
      </c>
      <c r="GL507">
        <f t="shared" si="274"/>
        <v>0</v>
      </c>
      <c r="GM507">
        <f t="shared" si="275"/>
        <v>6718.41</v>
      </c>
      <c r="GN507">
        <f t="shared" si="276"/>
        <v>0</v>
      </c>
      <c r="GO507">
        <f t="shared" si="277"/>
        <v>0</v>
      </c>
      <c r="GP507">
        <f t="shared" si="278"/>
        <v>6718.41</v>
      </c>
      <c r="GR507">
        <v>0</v>
      </c>
      <c r="GS507">
        <v>3</v>
      </c>
      <c r="GT507">
        <v>0</v>
      </c>
      <c r="GU507" t="s">
        <v>3</v>
      </c>
      <c r="GV507">
        <f t="shared" si="279"/>
        <v>0</v>
      </c>
      <c r="GW507">
        <v>1</v>
      </c>
      <c r="GX507">
        <f t="shared" si="280"/>
        <v>0</v>
      </c>
      <c r="HA507">
        <v>0</v>
      </c>
      <c r="HB507">
        <v>0</v>
      </c>
      <c r="HC507">
        <f t="shared" si="281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D508">
        <f>ROW(EtalonRes!A133)</f>
        <v>133</v>
      </c>
      <c r="E508" t="s">
        <v>3</v>
      </c>
      <c r="F508" t="s">
        <v>228</v>
      </c>
      <c r="G508" t="s">
        <v>229</v>
      </c>
      <c r="H508" t="s">
        <v>18</v>
      </c>
      <c r="I508">
        <v>4</v>
      </c>
      <c r="J508">
        <v>0</v>
      </c>
      <c r="K508">
        <v>4</v>
      </c>
      <c r="O508">
        <f t="shared" si="249"/>
        <v>370.44</v>
      </c>
      <c r="P508">
        <f t="shared" si="250"/>
        <v>0</v>
      </c>
      <c r="Q508">
        <f t="shared" si="251"/>
        <v>0</v>
      </c>
      <c r="R508">
        <f t="shared" si="252"/>
        <v>0</v>
      </c>
      <c r="S508">
        <f t="shared" si="253"/>
        <v>370.44</v>
      </c>
      <c r="T508">
        <f t="shared" si="254"/>
        <v>0</v>
      </c>
      <c r="U508">
        <f t="shared" si="255"/>
        <v>0.60000000000000009</v>
      </c>
      <c r="V508">
        <f t="shared" si="256"/>
        <v>0</v>
      </c>
      <c r="W508">
        <f t="shared" si="257"/>
        <v>0</v>
      </c>
      <c r="X508">
        <f t="shared" si="258"/>
        <v>259.31</v>
      </c>
      <c r="Y508">
        <f t="shared" si="259"/>
        <v>37.04</v>
      </c>
      <c r="AA508">
        <v>-1</v>
      </c>
      <c r="AB508">
        <f t="shared" si="260"/>
        <v>92.61</v>
      </c>
      <c r="AC508">
        <f>ROUND(((ES508*3)),6)</f>
        <v>0</v>
      </c>
      <c r="AD508">
        <f>ROUND(((((ET508*3))-((EU508*3)))+AE508),6)</f>
        <v>0</v>
      </c>
      <c r="AE508">
        <f>ROUND(((EU508*3)),6)</f>
        <v>0</v>
      </c>
      <c r="AF508">
        <f>ROUND(((EV508*3)),6)</f>
        <v>92.61</v>
      </c>
      <c r="AG508">
        <f t="shared" si="261"/>
        <v>0</v>
      </c>
      <c r="AH508">
        <f>((EW508*3))</f>
        <v>0.15000000000000002</v>
      </c>
      <c r="AI508">
        <f>((EX508*3))</f>
        <v>0</v>
      </c>
      <c r="AJ508">
        <f t="shared" si="262"/>
        <v>0</v>
      </c>
      <c r="AK508">
        <v>30.87</v>
      </c>
      <c r="AL508">
        <v>0</v>
      </c>
      <c r="AM508">
        <v>0</v>
      </c>
      <c r="AN508">
        <v>0</v>
      </c>
      <c r="AO508">
        <v>30.87</v>
      </c>
      <c r="AP508">
        <v>0</v>
      </c>
      <c r="AQ508">
        <v>0.05</v>
      </c>
      <c r="AR508">
        <v>0</v>
      </c>
      <c r="AS508">
        <v>0</v>
      </c>
      <c r="AT508">
        <v>70</v>
      </c>
      <c r="AU508">
        <v>10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1</v>
      </c>
      <c r="BD508" t="s">
        <v>3</v>
      </c>
      <c r="BE508" t="s">
        <v>3</v>
      </c>
      <c r="BF508" t="s">
        <v>3</v>
      </c>
      <c r="BG508" t="s">
        <v>3</v>
      </c>
      <c r="BH508">
        <v>0</v>
      </c>
      <c r="BI508">
        <v>4</v>
      </c>
      <c r="BJ508" t="s">
        <v>230</v>
      </c>
      <c r="BM508">
        <v>0</v>
      </c>
      <c r="BN508">
        <v>0</v>
      </c>
      <c r="BO508" t="s">
        <v>3</v>
      </c>
      <c r="BP508">
        <v>0</v>
      </c>
      <c r="BQ508">
        <v>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70</v>
      </c>
      <c r="CA508">
        <v>10</v>
      </c>
      <c r="CB508" t="s">
        <v>3</v>
      </c>
      <c r="CE508">
        <v>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263"/>
        <v>370.44</v>
      </c>
      <c r="CQ508">
        <f t="shared" si="264"/>
        <v>0</v>
      </c>
      <c r="CR508">
        <f>(((((ET508*3))*BB508-((EU508*3))*BS508)+AE508*BS508)*AV508)</f>
        <v>0</v>
      </c>
      <c r="CS508">
        <f t="shared" si="265"/>
        <v>0</v>
      </c>
      <c r="CT508">
        <f t="shared" si="266"/>
        <v>92.61</v>
      </c>
      <c r="CU508">
        <f t="shared" si="267"/>
        <v>0</v>
      </c>
      <c r="CV508">
        <f t="shared" si="268"/>
        <v>0.15000000000000002</v>
      </c>
      <c r="CW508">
        <f t="shared" si="269"/>
        <v>0</v>
      </c>
      <c r="CX508">
        <f t="shared" si="270"/>
        <v>0</v>
      </c>
      <c r="CY508">
        <f t="shared" si="271"/>
        <v>259.30799999999999</v>
      </c>
      <c r="CZ508">
        <f t="shared" si="272"/>
        <v>37.044000000000004</v>
      </c>
      <c r="DC508" t="s">
        <v>3</v>
      </c>
      <c r="DD508" t="s">
        <v>163</v>
      </c>
      <c r="DE508" t="s">
        <v>163</v>
      </c>
      <c r="DF508" t="s">
        <v>163</v>
      </c>
      <c r="DG508" t="s">
        <v>163</v>
      </c>
      <c r="DH508" t="s">
        <v>3</v>
      </c>
      <c r="DI508" t="s">
        <v>163</v>
      </c>
      <c r="DJ508" t="s">
        <v>163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16987630</v>
      </c>
      <c r="DV508" t="s">
        <v>18</v>
      </c>
      <c r="DW508" t="s">
        <v>18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1441815344</v>
      </c>
      <c r="EF508">
        <v>1</v>
      </c>
      <c r="EG508" t="s">
        <v>21</v>
      </c>
      <c r="EH508">
        <v>0</v>
      </c>
      <c r="EI508" t="s">
        <v>3</v>
      </c>
      <c r="EJ508">
        <v>4</v>
      </c>
      <c r="EK508">
        <v>0</v>
      </c>
      <c r="EL508" t="s">
        <v>22</v>
      </c>
      <c r="EM508" t="s">
        <v>23</v>
      </c>
      <c r="EO508" t="s">
        <v>3</v>
      </c>
      <c r="EQ508">
        <v>1024</v>
      </c>
      <c r="ER508">
        <v>30.87</v>
      </c>
      <c r="ES508">
        <v>0</v>
      </c>
      <c r="ET508">
        <v>0</v>
      </c>
      <c r="EU508">
        <v>0</v>
      </c>
      <c r="EV508">
        <v>30.87</v>
      </c>
      <c r="EW508">
        <v>0.05</v>
      </c>
      <c r="EX508">
        <v>0</v>
      </c>
      <c r="EY508">
        <v>0</v>
      </c>
      <c r="FQ508">
        <v>0</v>
      </c>
      <c r="FR508">
        <f t="shared" si="273"/>
        <v>0</v>
      </c>
      <c r="FS508">
        <v>0</v>
      </c>
      <c r="FX508">
        <v>70</v>
      </c>
      <c r="FY508">
        <v>10</v>
      </c>
      <c r="GA508" t="s">
        <v>3</v>
      </c>
      <c r="GD508">
        <v>0</v>
      </c>
      <c r="GF508">
        <v>1105260746</v>
      </c>
      <c r="GG508">
        <v>2</v>
      </c>
      <c r="GH508">
        <v>1</v>
      </c>
      <c r="GI508">
        <v>-2</v>
      </c>
      <c r="GJ508">
        <v>0</v>
      </c>
      <c r="GK508">
        <f>ROUND(R508*(R12)/100,2)</f>
        <v>0</v>
      </c>
      <c r="GL508">
        <f t="shared" si="274"/>
        <v>0</v>
      </c>
      <c r="GM508">
        <f t="shared" si="275"/>
        <v>666.79</v>
      </c>
      <c r="GN508">
        <f t="shared" si="276"/>
        <v>0</v>
      </c>
      <c r="GO508">
        <f t="shared" si="277"/>
        <v>0</v>
      </c>
      <c r="GP508">
        <f t="shared" si="278"/>
        <v>666.79</v>
      </c>
      <c r="GR508">
        <v>0</v>
      </c>
      <c r="GS508">
        <v>3</v>
      </c>
      <c r="GT508">
        <v>0</v>
      </c>
      <c r="GU508" t="s">
        <v>3</v>
      </c>
      <c r="GV508">
        <f t="shared" si="279"/>
        <v>0</v>
      </c>
      <c r="GW508">
        <v>1</v>
      </c>
      <c r="GX508">
        <f t="shared" si="280"/>
        <v>0</v>
      </c>
      <c r="HA508">
        <v>0</v>
      </c>
      <c r="HB508">
        <v>0</v>
      </c>
      <c r="HC508">
        <f t="shared" si="281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C509">
        <f>ROW(SmtRes!A52)</f>
        <v>52</v>
      </c>
      <c r="D509">
        <f>ROW(EtalonRes!A137)</f>
        <v>137</v>
      </c>
      <c r="E509" t="s">
        <v>3</v>
      </c>
      <c r="F509" t="s">
        <v>243</v>
      </c>
      <c r="G509" t="s">
        <v>244</v>
      </c>
      <c r="H509" t="s">
        <v>18</v>
      </c>
      <c r="I509">
        <v>1</v>
      </c>
      <c r="J509">
        <v>0</v>
      </c>
      <c r="K509">
        <v>1</v>
      </c>
      <c r="O509">
        <f t="shared" si="249"/>
        <v>558.16</v>
      </c>
      <c r="P509">
        <f t="shared" si="250"/>
        <v>23.48</v>
      </c>
      <c r="Q509">
        <f t="shared" si="251"/>
        <v>52.12</v>
      </c>
      <c r="R509">
        <f t="shared" si="252"/>
        <v>33.04</v>
      </c>
      <c r="S509">
        <f t="shared" si="253"/>
        <v>482.56</v>
      </c>
      <c r="T509">
        <f t="shared" si="254"/>
        <v>0</v>
      </c>
      <c r="U509">
        <f t="shared" si="255"/>
        <v>0.68</v>
      </c>
      <c r="V509">
        <f t="shared" si="256"/>
        <v>0</v>
      </c>
      <c r="W509">
        <f t="shared" si="257"/>
        <v>0</v>
      </c>
      <c r="X509">
        <f t="shared" si="258"/>
        <v>337.79</v>
      </c>
      <c r="Y509">
        <f t="shared" si="259"/>
        <v>48.26</v>
      </c>
      <c r="AA509">
        <v>-1</v>
      </c>
      <c r="AB509">
        <f t="shared" si="260"/>
        <v>558.16</v>
      </c>
      <c r="AC509">
        <f>ROUND(((ES509*4)),6)</f>
        <v>23.48</v>
      </c>
      <c r="AD509">
        <f>ROUND(((((ET509*4))-((EU509*4)))+AE509),6)</f>
        <v>52.12</v>
      </c>
      <c r="AE509">
        <f>ROUND(((EU509*4)),6)</f>
        <v>33.04</v>
      </c>
      <c r="AF509">
        <f>ROUND(((EV509*4)),6)</f>
        <v>482.56</v>
      </c>
      <c r="AG509">
        <f t="shared" si="261"/>
        <v>0</v>
      </c>
      <c r="AH509">
        <f>((EW509*4))</f>
        <v>0.68</v>
      </c>
      <c r="AI509">
        <f>((EX509*4))</f>
        <v>0</v>
      </c>
      <c r="AJ509">
        <f t="shared" si="262"/>
        <v>0</v>
      </c>
      <c r="AK509">
        <v>139.54</v>
      </c>
      <c r="AL509">
        <v>5.87</v>
      </c>
      <c r="AM509">
        <v>13.03</v>
      </c>
      <c r="AN509">
        <v>8.26</v>
      </c>
      <c r="AO509">
        <v>120.64</v>
      </c>
      <c r="AP509">
        <v>0</v>
      </c>
      <c r="AQ509">
        <v>0.17</v>
      </c>
      <c r="AR509">
        <v>0</v>
      </c>
      <c r="AS509">
        <v>0</v>
      </c>
      <c r="AT509">
        <v>70</v>
      </c>
      <c r="AU509">
        <v>10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1</v>
      </c>
      <c r="BD509" t="s">
        <v>3</v>
      </c>
      <c r="BE509" t="s">
        <v>3</v>
      </c>
      <c r="BF509" t="s">
        <v>3</v>
      </c>
      <c r="BG509" t="s">
        <v>3</v>
      </c>
      <c r="BH509">
        <v>0</v>
      </c>
      <c r="BI509">
        <v>4</v>
      </c>
      <c r="BJ509" t="s">
        <v>245</v>
      </c>
      <c r="BM509">
        <v>0</v>
      </c>
      <c r="BN509">
        <v>0</v>
      </c>
      <c r="BO509" t="s">
        <v>3</v>
      </c>
      <c r="BP509">
        <v>0</v>
      </c>
      <c r="BQ509">
        <v>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70</v>
      </c>
      <c r="CA509">
        <v>10</v>
      </c>
      <c r="CB509" t="s">
        <v>3</v>
      </c>
      <c r="CE509">
        <v>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263"/>
        <v>558.16</v>
      </c>
      <c r="CQ509">
        <f t="shared" si="264"/>
        <v>23.48</v>
      </c>
      <c r="CR509">
        <f>(((((ET509*4))*BB509-((EU509*4))*BS509)+AE509*BS509)*AV509)</f>
        <v>52.12</v>
      </c>
      <c r="CS509">
        <f t="shared" si="265"/>
        <v>33.04</v>
      </c>
      <c r="CT509">
        <f t="shared" si="266"/>
        <v>482.56</v>
      </c>
      <c r="CU509">
        <f t="shared" si="267"/>
        <v>0</v>
      </c>
      <c r="CV509">
        <f t="shared" si="268"/>
        <v>0.68</v>
      </c>
      <c r="CW509">
        <f t="shared" si="269"/>
        <v>0</v>
      </c>
      <c r="CX509">
        <f t="shared" si="270"/>
        <v>0</v>
      </c>
      <c r="CY509">
        <f t="shared" si="271"/>
        <v>337.79199999999997</v>
      </c>
      <c r="CZ509">
        <f t="shared" si="272"/>
        <v>48.256</v>
      </c>
      <c r="DC509" t="s">
        <v>3</v>
      </c>
      <c r="DD509" t="s">
        <v>28</v>
      </c>
      <c r="DE509" t="s">
        <v>28</v>
      </c>
      <c r="DF509" t="s">
        <v>28</v>
      </c>
      <c r="DG509" t="s">
        <v>28</v>
      </c>
      <c r="DH509" t="s">
        <v>3</v>
      </c>
      <c r="DI509" t="s">
        <v>28</v>
      </c>
      <c r="DJ509" t="s">
        <v>28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16987630</v>
      </c>
      <c r="DV509" t="s">
        <v>18</v>
      </c>
      <c r="DW509" t="s">
        <v>18</v>
      </c>
      <c r="DX509">
        <v>1</v>
      </c>
      <c r="DZ509" t="s">
        <v>3</v>
      </c>
      <c r="EA509" t="s">
        <v>3</v>
      </c>
      <c r="EB509" t="s">
        <v>3</v>
      </c>
      <c r="EC509" t="s">
        <v>3</v>
      </c>
      <c r="EE509">
        <v>1441815344</v>
      </c>
      <c r="EF509">
        <v>1</v>
      </c>
      <c r="EG509" t="s">
        <v>21</v>
      </c>
      <c r="EH509">
        <v>0</v>
      </c>
      <c r="EI509" t="s">
        <v>3</v>
      </c>
      <c r="EJ509">
        <v>4</v>
      </c>
      <c r="EK509">
        <v>0</v>
      </c>
      <c r="EL509" t="s">
        <v>22</v>
      </c>
      <c r="EM509" t="s">
        <v>23</v>
      </c>
      <c r="EO509" t="s">
        <v>3</v>
      </c>
      <c r="EQ509">
        <v>1024</v>
      </c>
      <c r="ER509">
        <v>139.54</v>
      </c>
      <c r="ES509">
        <v>5.87</v>
      </c>
      <c r="ET509">
        <v>13.03</v>
      </c>
      <c r="EU509">
        <v>8.26</v>
      </c>
      <c r="EV509">
        <v>120.64</v>
      </c>
      <c r="EW509">
        <v>0.17</v>
      </c>
      <c r="EX509">
        <v>0</v>
      </c>
      <c r="EY509">
        <v>0</v>
      </c>
      <c r="FQ509">
        <v>0</v>
      </c>
      <c r="FR509">
        <f t="shared" si="273"/>
        <v>0</v>
      </c>
      <c r="FS509">
        <v>0</v>
      </c>
      <c r="FX509">
        <v>70</v>
      </c>
      <c r="FY509">
        <v>10</v>
      </c>
      <c r="GA509" t="s">
        <v>3</v>
      </c>
      <c r="GD509">
        <v>0</v>
      </c>
      <c r="GF509">
        <v>-1153194852</v>
      </c>
      <c r="GG509">
        <v>2</v>
      </c>
      <c r="GH509">
        <v>1</v>
      </c>
      <c r="GI509">
        <v>-2</v>
      </c>
      <c r="GJ509">
        <v>0</v>
      </c>
      <c r="GK509">
        <f>ROUND(R509*(R12)/100,2)</f>
        <v>35.68</v>
      </c>
      <c r="GL509">
        <f t="shared" si="274"/>
        <v>0</v>
      </c>
      <c r="GM509">
        <f t="shared" si="275"/>
        <v>979.89</v>
      </c>
      <c r="GN509">
        <f t="shared" si="276"/>
        <v>0</v>
      </c>
      <c r="GO509">
        <f t="shared" si="277"/>
        <v>0</v>
      </c>
      <c r="GP509">
        <f t="shared" si="278"/>
        <v>979.89</v>
      </c>
      <c r="GR509">
        <v>0</v>
      </c>
      <c r="GS509">
        <v>3</v>
      </c>
      <c r="GT509">
        <v>0</v>
      </c>
      <c r="GU509" t="s">
        <v>3</v>
      </c>
      <c r="GV509">
        <f t="shared" si="279"/>
        <v>0</v>
      </c>
      <c r="GW509">
        <v>1</v>
      </c>
      <c r="GX509">
        <f t="shared" si="280"/>
        <v>0</v>
      </c>
      <c r="HA509">
        <v>0</v>
      </c>
      <c r="HB509">
        <v>0</v>
      </c>
      <c r="HC509">
        <f t="shared" si="281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C510">
        <f>ROW(SmtRes!A55)</f>
        <v>55</v>
      </c>
      <c r="D510">
        <f>ROW(EtalonRes!A140)</f>
        <v>140</v>
      </c>
      <c r="E510" t="s">
        <v>246</v>
      </c>
      <c r="F510" t="s">
        <v>247</v>
      </c>
      <c r="G510" t="s">
        <v>248</v>
      </c>
      <c r="H510" t="s">
        <v>18</v>
      </c>
      <c r="I510">
        <f>ROUND(1+14,9)</f>
        <v>15</v>
      </c>
      <c r="J510">
        <v>0</v>
      </c>
      <c r="K510">
        <f>ROUND(1+14,9)</f>
        <v>15</v>
      </c>
      <c r="O510">
        <f t="shared" si="249"/>
        <v>6522.9</v>
      </c>
      <c r="P510">
        <f t="shared" si="250"/>
        <v>135.9</v>
      </c>
      <c r="Q510">
        <f t="shared" si="251"/>
        <v>0</v>
      </c>
      <c r="R510">
        <f t="shared" si="252"/>
        <v>0</v>
      </c>
      <c r="S510">
        <f t="shared" si="253"/>
        <v>6387</v>
      </c>
      <c r="T510">
        <f t="shared" si="254"/>
        <v>0</v>
      </c>
      <c r="U510">
        <f t="shared" si="255"/>
        <v>9</v>
      </c>
      <c r="V510">
        <f t="shared" si="256"/>
        <v>0</v>
      </c>
      <c r="W510">
        <f t="shared" si="257"/>
        <v>0</v>
      </c>
      <c r="X510">
        <f t="shared" si="258"/>
        <v>4470.8999999999996</v>
      </c>
      <c r="Y510">
        <f t="shared" si="259"/>
        <v>638.70000000000005</v>
      </c>
      <c r="AA510">
        <v>1473080740</v>
      </c>
      <c r="AB510">
        <f t="shared" si="260"/>
        <v>434.86</v>
      </c>
      <c r="AC510">
        <f>ROUND(((ES510*2)),6)</f>
        <v>9.06</v>
      </c>
      <c r="AD510">
        <f>ROUND(((((ET510*2))-((EU510*2)))+AE510),6)</f>
        <v>0</v>
      </c>
      <c r="AE510">
        <f>ROUND(((EU510*2)),6)</f>
        <v>0</v>
      </c>
      <c r="AF510">
        <f>ROUND(((EV510*2)),6)</f>
        <v>425.8</v>
      </c>
      <c r="AG510">
        <f t="shared" si="261"/>
        <v>0</v>
      </c>
      <c r="AH510">
        <f>((EW510*2))</f>
        <v>0.6</v>
      </c>
      <c r="AI510">
        <f>((EX510*2))</f>
        <v>0</v>
      </c>
      <c r="AJ510">
        <f t="shared" si="262"/>
        <v>0</v>
      </c>
      <c r="AK510">
        <v>217.43</v>
      </c>
      <c r="AL510">
        <v>4.53</v>
      </c>
      <c r="AM510">
        <v>0</v>
      </c>
      <c r="AN510">
        <v>0</v>
      </c>
      <c r="AO510">
        <v>212.9</v>
      </c>
      <c r="AP510">
        <v>0</v>
      </c>
      <c r="AQ510">
        <v>0.3</v>
      </c>
      <c r="AR510">
        <v>0</v>
      </c>
      <c r="AS510">
        <v>0</v>
      </c>
      <c r="AT510">
        <v>70</v>
      </c>
      <c r="AU510">
        <v>10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1</v>
      </c>
      <c r="BD510" t="s">
        <v>3</v>
      </c>
      <c r="BE510" t="s">
        <v>3</v>
      </c>
      <c r="BF510" t="s">
        <v>3</v>
      </c>
      <c r="BG510" t="s">
        <v>3</v>
      </c>
      <c r="BH510">
        <v>0</v>
      </c>
      <c r="BI510">
        <v>4</v>
      </c>
      <c r="BJ510" t="s">
        <v>249</v>
      </c>
      <c r="BM510">
        <v>0</v>
      </c>
      <c r="BN510">
        <v>0</v>
      </c>
      <c r="BO510" t="s">
        <v>3</v>
      </c>
      <c r="BP510">
        <v>0</v>
      </c>
      <c r="BQ510">
        <v>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70</v>
      </c>
      <c r="CA510">
        <v>10</v>
      </c>
      <c r="CB510" t="s">
        <v>3</v>
      </c>
      <c r="CE510">
        <v>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263"/>
        <v>6522.9</v>
      </c>
      <c r="CQ510">
        <f t="shared" si="264"/>
        <v>9.06</v>
      </c>
      <c r="CR510">
        <f>(((((ET510*2))*BB510-((EU510*2))*BS510)+AE510*BS510)*AV510)</f>
        <v>0</v>
      </c>
      <c r="CS510">
        <f t="shared" si="265"/>
        <v>0</v>
      </c>
      <c r="CT510">
        <f t="shared" si="266"/>
        <v>425.8</v>
      </c>
      <c r="CU510">
        <f t="shared" si="267"/>
        <v>0</v>
      </c>
      <c r="CV510">
        <f t="shared" si="268"/>
        <v>0.6</v>
      </c>
      <c r="CW510">
        <f t="shared" si="269"/>
        <v>0</v>
      </c>
      <c r="CX510">
        <f t="shared" si="270"/>
        <v>0</v>
      </c>
      <c r="CY510">
        <f t="shared" si="271"/>
        <v>4470.8999999999996</v>
      </c>
      <c r="CZ510">
        <f t="shared" si="272"/>
        <v>638.70000000000005</v>
      </c>
      <c r="DC510" t="s">
        <v>3</v>
      </c>
      <c r="DD510" t="s">
        <v>181</v>
      </c>
      <c r="DE510" t="s">
        <v>181</v>
      </c>
      <c r="DF510" t="s">
        <v>181</v>
      </c>
      <c r="DG510" t="s">
        <v>181</v>
      </c>
      <c r="DH510" t="s">
        <v>3</v>
      </c>
      <c r="DI510" t="s">
        <v>181</v>
      </c>
      <c r="DJ510" t="s">
        <v>181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16987630</v>
      </c>
      <c r="DV510" t="s">
        <v>18</v>
      </c>
      <c r="DW510" t="s">
        <v>18</v>
      </c>
      <c r="DX510">
        <v>1</v>
      </c>
      <c r="DZ510" t="s">
        <v>3</v>
      </c>
      <c r="EA510" t="s">
        <v>3</v>
      </c>
      <c r="EB510" t="s">
        <v>3</v>
      </c>
      <c r="EC510" t="s">
        <v>3</v>
      </c>
      <c r="EE510">
        <v>1441815344</v>
      </c>
      <c r="EF510">
        <v>1</v>
      </c>
      <c r="EG510" t="s">
        <v>21</v>
      </c>
      <c r="EH510">
        <v>0</v>
      </c>
      <c r="EI510" t="s">
        <v>3</v>
      </c>
      <c r="EJ510">
        <v>4</v>
      </c>
      <c r="EK510">
        <v>0</v>
      </c>
      <c r="EL510" t="s">
        <v>22</v>
      </c>
      <c r="EM510" t="s">
        <v>23</v>
      </c>
      <c r="EO510" t="s">
        <v>3</v>
      </c>
      <c r="EQ510">
        <v>0</v>
      </c>
      <c r="ER510">
        <v>217.43</v>
      </c>
      <c r="ES510">
        <v>4.53</v>
      </c>
      <c r="ET510">
        <v>0</v>
      </c>
      <c r="EU510">
        <v>0</v>
      </c>
      <c r="EV510">
        <v>212.9</v>
      </c>
      <c r="EW510">
        <v>0.3</v>
      </c>
      <c r="EX510">
        <v>0</v>
      </c>
      <c r="EY510">
        <v>0</v>
      </c>
      <c r="FQ510">
        <v>0</v>
      </c>
      <c r="FR510">
        <f t="shared" si="273"/>
        <v>0</v>
      </c>
      <c r="FS510">
        <v>0</v>
      </c>
      <c r="FX510">
        <v>70</v>
      </c>
      <c r="FY510">
        <v>10</v>
      </c>
      <c r="GA510" t="s">
        <v>3</v>
      </c>
      <c r="GD510">
        <v>0</v>
      </c>
      <c r="GF510">
        <v>1338640914</v>
      </c>
      <c r="GG510">
        <v>2</v>
      </c>
      <c r="GH510">
        <v>1</v>
      </c>
      <c r="GI510">
        <v>-2</v>
      </c>
      <c r="GJ510">
        <v>0</v>
      </c>
      <c r="GK510">
        <f>ROUND(R510*(R12)/100,2)</f>
        <v>0</v>
      </c>
      <c r="GL510">
        <f t="shared" si="274"/>
        <v>0</v>
      </c>
      <c r="GM510">
        <f t="shared" si="275"/>
        <v>11632.5</v>
      </c>
      <c r="GN510">
        <f t="shared" si="276"/>
        <v>0</v>
      </c>
      <c r="GO510">
        <f t="shared" si="277"/>
        <v>0</v>
      </c>
      <c r="GP510">
        <f t="shared" si="278"/>
        <v>11632.5</v>
      </c>
      <c r="GR510">
        <v>0</v>
      </c>
      <c r="GS510">
        <v>3</v>
      </c>
      <c r="GT510">
        <v>0</v>
      </c>
      <c r="GU510" t="s">
        <v>3</v>
      </c>
      <c r="GV510">
        <f t="shared" si="279"/>
        <v>0</v>
      </c>
      <c r="GW510">
        <v>1</v>
      </c>
      <c r="GX510">
        <f t="shared" si="280"/>
        <v>0</v>
      </c>
      <c r="HA510">
        <v>0</v>
      </c>
      <c r="HB510">
        <v>0</v>
      </c>
      <c r="HC510">
        <f t="shared" si="281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C511">
        <f>ROW(SmtRes!A59)</f>
        <v>59</v>
      </c>
      <c r="D511">
        <f>ROW(EtalonRes!A144)</f>
        <v>144</v>
      </c>
      <c r="E511" t="s">
        <v>3</v>
      </c>
      <c r="F511" t="s">
        <v>243</v>
      </c>
      <c r="G511" t="s">
        <v>250</v>
      </c>
      <c r="H511" t="s">
        <v>18</v>
      </c>
      <c r="I511">
        <v>1</v>
      </c>
      <c r="J511">
        <v>0</v>
      </c>
      <c r="K511">
        <v>1</v>
      </c>
      <c r="O511">
        <f t="shared" si="249"/>
        <v>558.16</v>
      </c>
      <c r="P511">
        <f t="shared" si="250"/>
        <v>23.48</v>
      </c>
      <c r="Q511">
        <f t="shared" si="251"/>
        <v>52.12</v>
      </c>
      <c r="R511">
        <f t="shared" si="252"/>
        <v>33.04</v>
      </c>
      <c r="S511">
        <f t="shared" si="253"/>
        <v>482.56</v>
      </c>
      <c r="T511">
        <f t="shared" si="254"/>
        <v>0</v>
      </c>
      <c r="U511">
        <f t="shared" si="255"/>
        <v>0.68</v>
      </c>
      <c r="V511">
        <f t="shared" si="256"/>
        <v>0</v>
      </c>
      <c r="W511">
        <f t="shared" si="257"/>
        <v>0</v>
      </c>
      <c r="X511">
        <f t="shared" si="258"/>
        <v>337.79</v>
      </c>
      <c r="Y511">
        <f t="shared" si="259"/>
        <v>48.26</v>
      </c>
      <c r="AA511">
        <v>-1</v>
      </c>
      <c r="AB511">
        <f t="shared" si="260"/>
        <v>558.16</v>
      </c>
      <c r="AC511">
        <f>ROUND(((ES511*4)),6)</f>
        <v>23.48</v>
      </c>
      <c r="AD511">
        <f>ROUND(((((ET511*4))-((EU511*4)))+AE511),6)</f>
        <v>52.12</v>
      </c>
      <c r="AE511">
        <f>ROUND(((EU511*4)),6)</f>
        <v>33.04</v>
      </c>
      <c r="AF511">
        <f>ROUND(((EV511*4)),6)</f>
        <v>482.56</v>
      </c>
      <c r="AG511">
        <f t="shared" si="261"/>
        <v>0</v>
      </c>
      <c r="AH511">
        <f>((EW511*4))</f>
        <v>0.68</v>
      </c>
      <c r="AI511">
        <f>((EX511*4))</f>
        <v>0</v>
      </c>
      <c r="AJ511">
        <f t="shared" si="262"/>
        <v>0</v>
      </c>
      <c r="AK511">
        <v>139.54</v>
      </c>
      <c r="AL511">
        <v>5.87</v>
      </c>
      <c r="AM511">
        <v>13.03</v>
      </c>
      <c r="AN511">
        <v>8.26</v>
      </c>
      <c r="AO511">
        <v>120.64</v>
      </c>
      <c r="AP511">
        <v>0</v>
      </c>
      <c r="AQ511">
        <v>0.17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245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263"/>
        <v>558.16</v>
      </c>
      <c r="CQ511">
        <f t="shared" si="264"/>
        <v>23.48</v>
      </c>
      <c r="CR511">
        <f>(((((ET511*4))*BB511-((EU511*4))*BS511)+AE511*BS511)*AV511)</f>
        <v>52.12</v>
      </c>
      <c r="CS511">
        <f t="shared" si="265"/>
        <v>33.04</v>
      </c>
      <c r="CT511">
        <f t="shared" si="266"/>
        <v>482.56</v>
      </c>
      <c r="CU511">
        <f t="shared" si="267"/>
        <v>0</v>
      </c>
      <c r="CV511">
        <f t="shared" si="268"/>
        <v>0.68</v>
      </c>
      <c r="CW511">
        <f t="shared" si="269"/>
        <v>0</v>
      </c>
      <c r="CX511">
        <f t="shared" si="270"/>
        <v>0</v>
      </c>
      <c r="CY511">
        <f t="shared" si="271"/>
        <v>337.79199999999997</v>
      </c>
      <c r="CZ511">
        <f t="shared" si="272"/>
        <v>48.256</v>
      </c>
      <c r="DC511" t="s">
        <v>3</v>
      </c>
      <c r="DD511" t="s">
        <v>28</v>
      </c>
      <c r="DE511" t="s">
        <v>28</v>
      </c>
      <c r="DF511" t="s">
        <v>28</v>
      </c>
      <c r="DG511" t="s">
        <v>28</v>
      </c>
      <c r="DH511" t="s">
        <v>3</v>
      </c>
      <c r="DI511" t="s">
        <v>28</v>
      </c>
      <c r="DJ511" t="s">
        <v>28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18</v>
      </c>
      <c r="DW511" t="s">
        <v>18</v>
      </c>
      <c r="DX511">
        <v>1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21</v>
      </c>
      <c r="EH511">
        <v>0</v>
      </c>
      <c r="EI511" t="s">
        <v>3</v>
      </c>
      <c r="EJ511">
        <v>4</v>
      </c>
      <c r="EK511">
        <v>0</v>
      </c>
      <c r="EL511" t="s">
        <v>22</v>
      </c>
      <c r="EM511" t="s">
        <v>23</v>
      </c>
      <c r="EO511" t="s">
        <v>3</v>
      </c>
      <c r="EQ511">
        <v>1024</v>
      </c>
      <c r="ER511">
        <v>139.54</v>
      </c>
      <c r="ES511">
        <v>5.87</v>
      </c>
      <c r="ET511">
        <v>13.03</v>
      </c>
      <c r="EU511">
        <v>8.26</v>
      </c>
      <c r="EV511">
        <v>120.64</v>
      </c>
      <c r="EW511">
        <v>0.17</v>
      </c>
      <c r="EX511">
        <v>0</v>
      </c>
      <c r="EY511">
        <v>0</v>
      </c>
      <c r="FQ511">
        <v>0</v>
      </c>
      <c r="FR511">
        <f t="shared" si="273"/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-1745435892</v>
      </c>
      <c r="GG511">
        <v>2</v>
      </c>
      <c r="GH511">
        <v>1</v>
      </c>
      <c r="GI511">
        <v>-2</v>
      </c>
      <c r="GJ511">
        <v>0</v>
      </c>
      <c r="GK511">
        <f>ROUND(R511*(R12)/100,2)</f>
        <v>35.68</v>
      </c>
      <c r="GL511">
        <f t="shared" si="274"/>
        <v>0</v>
      </c>
      <c r="GM511">
        <f t="shared" si="275"/>
        <v>979.89</v>
      </c>
      <c r="GN511">
        <f t="shared" si="276"/>
        <v>0</v>
      </c>
      <c r="GO511">
        <f t="shared" si="277"/>
        <v>0</v>
      </c>
      <c r="GP511">
        <f t="shared" si="278"/>
        <v>979.89</v>
      </c>
      <c r="GR511">
        <v>0</v>
      </c>
      <c r="GS511">
        <v>3</v>
      </c>
      <c r="GT511">
        <v>0</v>
      </c>
      <c r="GU511" t="s">
        <v>3</v>
      </c>
      <c r="GV511">
        <f t="shared" si="279"/>
        <v>0</v>
      </c>
      <c r="GW511">
        <v>1</v>
      </c>
      <c r="GX511">
        <f t="shared" si="280"/>
        <v>0</v>
      </c>
      <c r="HA511">
        <v>0</v>
      </c>
      <c r="HB511">
        <v>0</v>
      </c>
      <c r="HC511">
        <f t="shared" si="281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C512">
        <f>ROW(SmtRes!A62)</f>
        <v>62</v>
      </c>
      <c r="D512">
        <f>ROW(EtalonRes!A147)</f>
        <v>147</v>
      </c>
      <c r="E512" t="s">
        <v>251</v>
      </c>
      <c r="F512" t="s">
        <v>247</v>
      </c>
      <c r="G512" t="s">
        <v>248</v>
      </c>
      <c r="H512" t="s">
        <v>18</v>
      </c>
      <c r="I512">
        <f>ROUND(1+4,9)</f>
        <v>5</v>
      </c>
      <c r="J512">
        <v>0</v>
      </c>
      <c r="K512">
        <f>ROUND(1+4,9)</f>
        <v>5</v>
      </c>
      <c r="O512">
        <f t="shared" si="249"/>
        <v>2174.3000000000002</v>
      </c>
      <c r="P512">
        <f t="shared" si="250"/>
        <v>45.3</v>
      </c>
      <c r="Q512">
        <f t="shared" si="251"/>
        <v>0</v>
      </c>
      <c r="R512">
        <f t="shared" si="252"/>
        <v>0</v>
      </c>
      <c r="S512">
        <f t="shared" si="253"/>
        <v>2129</v>
      </c>
      <c r="T512">
        <f t="shared" si="254"/>
        <v>0</v>
      </c>
      <c r="U512">
        <f t="shared" si="255"/>
        <v>3</v>
      </c>
      <c r="V512">
        <f t="shared" si="256"/>
        <v>0</v>
      </c>
      <c r="W512">
        <f t="shared" si="257"/>
        <v>0</v>
      </c>
      <c r="X512">
        <f t="shared" si="258"/>
        <v>1490.3</v>
      </c>
      <c r="Y512">
        <f t="shared" si="259"/>
        <v>212.9</v>
      </c>
      <c r="AA512">
        <v>1473080740</v>
      </c>
      <c r="AB512">
        <f t="shared" si="260"/>
        <v>434.86</v>
      </c>
      <c r="AC512">
        <f>ROUND(((ES512*2)),6)</f>
        <v>9.06</v>
      </c>
      <c r="AD512">
        <f>ROUND(((((ET512*2))-((EU512*2)))+AE512),6)</f>
        <v>0</v>
      </c>
      <c r="AE512">
        <f>ROUND(((EU512*2)),6)</f>
        <v>0</v>
      </c>
      <c r="AF512">
        <f>ROUND(((EV512*2)),6)</f>
        <v>425.8</v>
      </c>
      <c r="AG512">
        <f t="shared" si="261"/>
        <v>0</v>
      </c>
      <c r="AH512">
        <f>((EW512*2))</f>
        <v>0.6</v>
      </c>
      <c r="AI512">
        <f>((EX512*2))</f>
        <v>0</v>
      </c>
      <c r="AJ512">
        <f t="shared" si="262"/>
        <v>0</v>
      </c>
      <c r="AK512">
        <v>217.43</v>
      </c>
      <c r="AL512">
        <v>4.53</v>
      </c>
      <c r="AM512">
        <v>0</v>
      </c>
      <c r="AN512">
        <v>0</v>
      </c>
      <c r="AO512">
        <v>212.9</v>
      </c>
      <c r="AP512">
        <v>0</v>
      </c>
      <c r="AQ512">
        <v>0.3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249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263"/>
        <v>2174.3000000000002</v>
      </c>
      <c r="CQ512">
        <f t="shared" si="264"/>
        <v>9.06</v>
      </c>
      <c r="CR512">
        <f>(((((ET512*2))*BB512-((EU512*2))*BS512)+AE512*BS512)*AV512)</f>
        <v>0</v>
      </c>
      <c r="CS512">
        <f t="shared" si="265"/>
        <v>0</v>
      </c>
      <c r="CT512">
        <f t="shared" si="266"/>
        <v>425.8</v>
      </c>
      <c r="CU512">
        <f t="shared" si="267"/>
        <v>0</v>
      </c>
      <c r="CV512">
        <f t="shared" si="268"/>
        <v>0.6</v>
      </c>
      <c r="CW512">
        <f t="shared" si="269"/>
        <v>0</v>
      </c>
      <c r="CX512">
        <f t="shared" si="270"/>
        <v>0</v>
      </c>
      <c r="CY512">
        <f t="shared" si="271"/>
        <v>1490.3</v>
      </c>
      <c r="CZ512">
        <f t="shared" si="272"/>
        <v>212.9</v>
      </c>
      <c r="DC512" t="s">
        <v>3</v>
      </c>
      <c r="DD512" t="s">
        <v>181</v>
      </c>
      <c r="DE512" t="s">
        <v>181</v>
      </c>
      <c r="DF512" t="s">
        <v>181</v>
      </c>
      <c r="DG512" t="s">
        <v>181</v>
      </c>
      <c r="DH512" t="s">
        <v>3</v>
      </c>
      <c r="DI512" t="s">
        <v>181</v>
      </c>
      <c r="DJ512" t="s">
        <v>181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18</v>
      </c>
      <c r="DW512" t="s">
        <v>18</v>
      </c>
      <c r="DX512">
        <v>1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21</v>
      </c>
      <c r="EH512">
        <v>0</v>
      </c>
      <c r="EI512" t="s">
        <v>3</v>
      </c>
      <c r="EJ512">
        <v>4</v>
      </c>
      <c r="EK512">
        <v>0</v>
      </c>
      <c r="EL512" t="s">
        <v>22</v>
      </c>
      <c r="EM512" t="s">
        <v>23</v>
      </c>
      <c r="EO512" t="s">
        <v>3</v>
      </c>
      <c r="EQ512">
        <v>0</v>
      </c>
      <c r="ER512">
        <v>217.43</v>
      </c>
      <c r="ES512">
        <v>4.53</v>
      </c>
      <c r="ET512">
        <v>0</v>
      </c>
      <c r="EU512">
        <v>0</v>
      </c>
      <c r="EV512">
        <v>212.9</v>
      </c>
      <c r="EW512">
        <v>0.3</v>
      </c>
      <c r="EX512">
        <v>0</v>
      </c>
      <c r="EY512">
        <v>0</v>
      </c>
      <c r="FQ512">
        <v>0</v>
      </c>
      <c r="FR512">
        <f t="shared" si="273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1338640914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274"/>
        <v>0</v>
      </c>
      <c r="GM512">
        <f t="shared" si="275"/>
        <v>3877.5</v>
      </c>
      <c r="GN512">
        <f t="shared" si="276"/>
        <v>0</v>
      </c>
      <c r="GO512">
        <f t="shared" si="277"/>
        <v>0</v>
      </c>
      <c r="GP512">
        <f t="shared" si="278"/>
        <v>3877.5</v>
      </c>
      <c r="GR512">
        <v>0</v>
      </c>
      <c r="GS512">
        <v>3</v>
      </c>
      <c r="GT512">
        <v>0</v>
      </c>
      <c r="GU512" t="s">
        <v>3</v>
      </c>
      <c r="GV512">
        <f t="shared" si="279"/>
        <v>0</v>
      </c>
      <c r="GW512">
        <v>1</v>
      </c>
      <c r="GX512">
        <f t="shared" si="280"/>
        <v>0</v>
      </c>
      <c r="HA512">
        <v>0</v>
      </c>
      <c r="HB512">
        <v>0</v>
      </c>
      <c r="HC512">
        <f t="shared" si="281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C513">
        <f>ROW(SmtRes!A63)</f>
        <v>63</v>
      </c>
      <c r="D513">
        <f>ROW(EtalonRes!A148)</f>
        <v>148</v>
      </c>
      <c r="E513" t="s">
        <v>3</v>
      </c>
      <c r="F513" t="s">
        <v>252</v>
      </c>
      <c r="G513" t="s">
        <v>253</v>
      </c>
      <c r="H513" t="s">
        <v>32</v>
      </c>
      <c r="I513">
        <f>ROUND(1/10,9)</f>
        <v>0.1</v>
      </c>
      <c r="J513">
        <v>0</v>
      </c>
      <c r="K513">
        <f>ROUND(1/10,9)</f>
        <v>0.1</v>
      </c>
      <c r="O513">
        <f t="shared" si="249"/>
        <v>85.15</v>
      </c>
      <c r="P513">
        <f t="shared" si="250"/>
        <v>0</v>
      </c>
      <c r="Q513">
        <f t="shared" si="251"/>
        <v>0</v>
      </c>
      <c r="R513">
        <f t="shared" si="252"/>
        <v>0</v>
      </c>
      <c r="S513">
        <f t="shared" si="253"/>
        <v>85.15</v>
      </c>
      <c r="T513">
        <f t="shared" si="254"/>
        <v>0</v>
      </c>
      <c r="U513">
        <f t="shared" si="255"/>
        <v>0.16800000000000004</v>
      </c>
      <c r="V513">
        <f t="shared" si="256"/>
        <v>0</v>
      </c>
      <c r="W513">
        <f t="shared" si="257"/>
        <v>0</v>
      </c>
      <c r="X513">
        <f t="shared" si="258"/>
        <v>59.61</v>
      </c>
      <c r="Y513">
        <f t="shared" si="259"/>
        <v>8.52</v>
      </c>
      <c r="AA513">
        <v>-1</v>
      </c>
      <c r="AB513">
        <f t="shared" si="260"/>
        <v>851.52</v>
      </c>
      <c r="AC513">
        <f>ROUND(((ES513*3)),6)</f>
        <v>0</v>
      </c>
      <c r="AD513">
        <f>ROUND(((((ET513*3))-((EU513*3)))+AE513),6)</f>
        <v>0</v>
      </c>
      <c r="AE513">
        <f>ROUND(((EU513*3)),6)</f>
        <v>0</v>
      </c>
      <c r="AF513">
        <f>ROUND(((EV513*3)),6)</f>
        <v>851.52</v>
      </c>
      <c r="AG513">
        <f t="shared" si="261"/>
        <v>0</v>
      </c>
      <c r="AH513">
        <f>((EW513*3))</f>
        <v>1.6800000000000002</v>
      </c>
      <c r="AI513">
        <f>((EX513*3))</f>
        <v>0</v>
      </c>
      <c r="AJ513">
        <f t="shared" si="262"/>
        <v>0</v>
      </c>
      <c r="AK513">
        <v>283.83999999999997</v>
      </c>
      <c r="AL513">
        <v>0</v>
      </c>
      <c r="AM513">
        <v>0</v>
      </c>
      <c r="AN513">
        <v>0</v>
      </c>
      <c r="AO513">
        <v>283.83999999999997</v>
      </c>
      <c r="AP513">
        <v>0</v>
      </c>
      <c r="AQ513">
        <v>0.56000000000000005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254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263"/>
        <v>85.15</v>
      </c>
      <c r="CQ513">
        <f t="shared" si="264"/>
        <v>0</v>
      </c>
      <c r="CR513">
        <f>(((((ET513*3))*BB513-((EU513*3))*BS513)+AE513*BS513)*AV513)</f>
        <v>0</v>
      </c>
      <c r="CS513">
        <f t="shared" si="265"/>
        <v>0</v>
      </c>
      <c r="CT513">
        <f t="shared" si="266"/>
        <v>851.52</v>
      </c>
      <c r="CU513">
        <f t="shared" si="267"/>
        <v>0</v>
      </c>
      <c r="CV513">
        <f t="shared" si="268"/>
        <v>1.6800000000000002</v>
      </c>
      <c r="CW513">
        <f t="shared" si="269"/>
        <v>0</v>
      </c>
      <c r="CX513">
        <f t="shared" si="270"/>
        <v>0</v>
      </c>
      <c r="CY513">
        <f t="shared" si="271"/>
        <v>59.604999999999997</v>
      </c>
      <c r="CZ513">
        <f t="shared" si="272"/>
        <v>8.5150000000000006</v>
      </c>
      <c r="DC513" t="s">
        <v>3</v>
      </c>
      <c r="DD513" t="s">
        <v>163</v>
      </c>
      <c r="DE513" t="s">
        <v>163</v>
      </c>
      <c r="DF513" t="s">
        <v>163</v>
      </c>
      <c r="DG513" t="s">
        <v>163</v>
      </c>
      <c r="DH513" t="s">
        <v>3</v>
      </c>
      <c r="DI513" t="s">
        <v>163</v>
      </c>
      <c r="DJ513" t="s">
        <v>163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32</v>
      </c>
      <c r="DW513" t="s">
        <v>32</v>
      </c>
      <c r="DX513">
        <v>10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21</v>
      </c>
      <c r="EH513">
        <v>0</v>
      </c>
      <c r="EI513" t="s">
        <v>3</v>
      </c>
      <c r="EJ513">
        <v>4</v>
      </c>
      <c r="EK513">
        <v>0</v>
      </c>
      <c r="EL513" t="s">
        <v>22</v>
      </c>
      <c r="EM513" t="s">
        <v>23</v>
      </c>
      <c r="EO513" t="s">
        <v>3</v>
      </c>
      <c r="EQ513">
        <v>1024</v>
      </c>
      <c r="ER513">
        <v>283.83999999999997</v>
      </c>
      <c r="ES513">
        <v>0</v>
      </c>
      <c r="ET513">
        <v>0</v>
      </c>
      <c r="EU513">
        <v>0</v>
      </c>
      <c r="EV513">
        <v>283.83999999999997</v>
      </c>
      <c r="EW513">
        <v>0.56000000000000005</v>
      </c>
      <c r="EX513">
        <v>0</v>
      </c>
      <c r="EY513">
        <v>0</v>
      </c>
      <c r="FQ513">
        <v>0</v>
      </c>
      <c r="FR513">
        <f t="shared" si="273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1038359689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</v>
      </c>
      <c r="GL513">
        <f t="shared" si="274"/>
        <v>0</v>
      </c>
      <c r="GM513">
        <f t="shared" si="275"/>
        <v>153.28</v>
      </c>
      <c r="GN513">
        <f t="shared" si="276"/>
        <v>0</v>
      </c>
      <c r="GO513">
        <f t="shared" si="277"/>
        <v>0</v>
      </c>
      <c r="GP513">
        <f t="shared" si="278"/>
        <v>153.28</v>
      </c>
      <c r="GR513">
        <v>0</v>
      </c>
      <c r="GS513">
        <v>3</v>
      </c>
      <c r="GT513">
        <v>0</v>
      </c>
      <c r="GU513" t="s">
        <v>3</v>
      </c>
      <c r="GV513">
        <f t="shared" si="279"/>
        <v>0</v>
      </c>
      <c r="GW513">
        <v>1</v>
      </c>
      <c r="GX513">
        <f t="shared" si="280"/>
        <v>0</v>
      </c>
      <c r="HA513">
        <v>0</v>
      </c>
      <c r="HB513">
        <v>0</v>
      </c>
      <c r="HC513">
        <f t="shared" si="281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C514">
        <f>ROW(SmtRes!A64)</f>
        <v>64</v>
      </c>
      <c r="D514">
        <f>ROW(EtalonRes!A149)</f>
        <v>149</v>
      </c>
      <c r="E514" t="s">
        <v>255</v>
      </c>
      <c r="F514" t="s">
        <v>256</v>
      </c>
      <c r="G514" t="s">
        <v>257</v>
      </c>
      <c r="H514" t="s">
        <v>18</v>
      </c>
      <c r="I514">
        <v>1</v>
      </c>
      <c r="J514">
        <v>0</v>
      </c>
      <c r="K514">
        <v>1</v>
      </c>
      <c r="O514">
        <f t="shared" si="249"/>
        <v>89.95</v>
      </c>
      <c r="P514">
        <f t="shared" si="250"/>
        <v>0</v>
      </c>
      <c r="Q514">
        <f t="shared" si="251"/>
        <v>0</v>
      </c>
      <c r="R514">
        <f t="shared" si="252"/>
        <v>0</v>
      </c>
      <c r="S514">
        <f t="shared" si="253"/>
        <v>89.95</v>
      </c>
      <c r="T514">
        <f t="shared" si="254"/>
        <v>0</v>
      </c>
      <c r="U514">
        <f t="shared" si="255"/>
        <v>0.16</v>
      </c>
      <c r="V514">
        <f t="shared" si="256"/>
        <v>0</v>
      </c>
      <c r="W514">
        <f t="shared" si="257"/>
        <v>0</v>
      </c>
      <c r="X514">
        <f t="shared" si="258"/>
        <v>62.97</v>
      </c>
      <c r="Y514">
        <f t="shared" si="259"/>
        <v>9</v>
      </c>
      <c r="AA514">
        <v>1473080740</v>
      </c>
      <c r="AB514">
        <f t="shared" si="260"/>
        <v>89.95</v>
      </c>
      <c r="AC514">
        <f>ROUND((ES514),6)</f>
        <v>0</v>
      </c>
      <c r="AD514">
        <f>ROUND((((ET514)-(EU514))+AE514),6)</f>
        <v>0</v>
      </c>
      <c r="AE514">
        <f>ROUND((EU514),6)</f>
        <v>0</v>
      </c>
      <c r="AF514">
        <f>ROUND((EV514),6)</f>
        <v>89.95</v>
      </c>
      <c r="AG514">
        <f t="shared" si="261"/>
        <v>0</v>
      </c>
      <c r="AH514">
        <f>(EW514)</f>
        <v>0.16</v>
      </c>
      <c r="AI514">
        <f>(EX514)</f>
        <v>0</v>
      </c>
      <c r="AJ514">
        <f t="shared" si="262"/>
        <v>0</v>
      </c>
      <c r="AK514">
        <v>89.95</v>
      </c>
      <c r="AL514">
        <v>0</v>
      </c>
      <c r="AM514">
        <v>0</v>
      </c>
      <c r="AN514">
        <v>0</v>
      </c>
      <c r="AO514">
        <v>89.95</v>
      </c>
      <c r="AP514">
        <v>0</v>
      </c>
      <c r="AQ514">
        <v>0.16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258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263"/>
        <v>89.95</v>
      </c>
      <c r="CQ514">
        <f t="shared" si="264"/>
        <v>0</v>
      </c>
      <c r="CR514">
        <f>((((ET514)*BB514-(EU514)*BS514)+AE514*BS514)*AV514)</f>
        <v>0</v>
      </c>
      <c r="CS514">
        <f t="shared" si="265"/>
        <v>0</v>
      </c>
      <c r="CT514">
        <f t="shared" si="266"/>
        <v>89.95</v>
      </c>
      <c r="CU514">
        <f t="shared" si="267"/>
        <v>0</v>
      </c>
      <c r="CV514">
        <f t="shared" si="268"/>
        <v>0.16</v>
      </c>
      <c r="CW514">
        <f t="shared" si="269"/>
        <v>0</v>
      </c>
      <c r="CX514">
        <f t="shared" si="270"/>
        <v>0</v>
      </c>
      <c r="CY514">
        <f t="shared" si="271"/>
        <v>62.965000000000003</v>
      </c>
      <c r="CZ514">
        <f t="shared" si="272"/>
        <v>8.9949999999999992</v>
      </c>
      <c r="DC514" t="s">
        <v>3</v>
      </c>
      <c r="DD514" t="s">
        <v>3</v>
      </c>
      <c r="DE514" t="s">
        <v>3</v>
      </c>
      <c r="DF514" t="s">
        <v>3</v>
      </c>
      <c r="DG514" t="s">
        <v>3</v>
      </c>
      <c r="DH514" t="s">
        <v>3</v>
      </c>
      <c r="DI514" t="s">
        <v>3</v>
      </c>
      <c r="DJ514" t="s">
        <v>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18</v>
      </c>
      <c r="DW514" t="s">
        <v>18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21</v>
      </c>
      <c r="EH514">
        <v>0</v>
      </c>
      <c r="EI514" t="s">
        <v>3</v>
      </c>
      <c r="EJ514">
        <v>4</v>
      </c>
      <c r="EK514">
        <v>0</v>
      </c>
      <c r="EL514" t="s">
        <v>22</v>
      </c>
      <c r="EM514" t="s">
        <v>23</v>
      </c>
      <c r="EO514" t="s">
        <v>3</v>
      </c>
      <c r="EQ514">
        <v>0</v>
      </c>
      <c r="ER514">
        <v>89.95</v>
      </c>
      <c r="ES514">
        <v>0</v>
      </c>
      <c r="ET514">
        <v>0</v>
      </c>
      <c r="EU514">
        <v>0</v>
      </c>
      <c r="EV514">
        <v>89.95</v>
      </c>
      <c r="EW514">
        <v>0.16</v>
      </c>
      <c r="EX514">
        <v>0</v>
      </c>
      <c r="EY514">
        <v>0</v>
      </c>
      <c r="FQ514">
        <v>0</v>
      </c>
      <c r="FR514">
        <f t="shared" si="273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-864364953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</v>
      </c>
      <c r="GL514">
        <f t="shared" si="274"/>
        <v>0</v>
      </c>
      <c r="GM514">
        <f t="shared" si="275"/>
        <v>161.91999999999999</v>
      </c>
      <c r="GN514">
        <f t="shared" si="276"/>
        <v>0</v>
      </c>
      <c r="GO514">
        <f t="shared" si="277"/>
        <v>0</v>
      </c>
      <c r="GP514">
        <f t="shared" si="278"/>
        <v>161.91999999999999</v>
      </c>
      <c r="GR514">
        <v>0</v>
      </c>
      <c r="GS514">
        <v>3</v>
      </c>
      <c r="GT514">
        <v>0</v>
      </c>
      <c r="GU514" t="s">
        <v>3</v>
      </c>
      <c r="GV514">
        <f t="shared" si="279"/>
        <v>0</v>
      </c>
      <c r="GW514">
        <v>1</v>
      </c>
      <c r="GX514">
        <f t="shared" si="280"/>
        <v>0</v>
      </c>
      <c r="HA514">
        <v>0</v>
      </c>
      <c r="HB514">
        <v>0</v>
      </c>
      <c r="HC514">
        <f t="shared" si="281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C515">
        <f>ROW(SmtRes!A67)</f>
        <v>67</v>
      </c>
      <c r="D515">
        <f>ROW(EtalonRes!A152)</f>
        <v>152</v>
      </c>
      <c r="E515" t="s">
        <v>259</v>
      </c>
      <c r="F515" t="s">
        <v>247</v>
      </c>
      <c r="G515" t="s">
        <v>248</v>
      </c>
      <c r="H515" t="s">
        <v>18</v>
      </c>
      <c r="I515">
        <v>3</v>
      </c>
      <c r="J515">
        <v>0</v>
      </c>
      <c r="K515">
        <v>3</v>
      </c>
      <c r="O515">
        <f t="shared" si="249"/>
        <v>1304.58</v>
      </c>
      <c r="P515">
        <f t="shared" si="250"/>
        <v>27.18</v>
      </c>
      <c r="Q515">
        <f t="shared" si="251"/>
        <v>0</v>
      </c>
      <c r="R515">
        <f t="shared" si="252"/>
        <v>0</v>
      </c>
      <c r="S515">
        <f t="shared" si="253"/>
        <v>1277.4000000000001</v>
      </c>
      <c r="T515">
        <f t="shared" si="254"/>
        <v>0</v>
      </c>
      <c r="U515">
        <f t="shared" si="255"/>
        <v>1.7999999999999998</v>
      </c>
      <c r="V515">
        <f t="shared" si="256"/>
        <v>0</v>
      </c>
      <c r="W515">
        <f t="shared" si="257"/>
        <v>0</v>
      </c>
      <c r="X515">
        <f t="shared" si="258"/>
        <v>894.18</v>
      </c>
      <c r="Y515">
        <f t="shared" si="259"/>
        <v>127.74</v>
      </c>
      <c r="AA515">
        <v>1473080740</v>
      </c>
      <c r="AB515">
        <f t="shared" si="260"/>
        <v>434.86</v>
      </c>
      <c r="AC515">
        <f>ROUND(((ES515*2)),6)</f>
        <v>9.06</v>
      </c>
      <c r="AD515">
        <f>ROUND(((((ET515*2))-((EU515*2)))+AE515),6)</f>
        <v>0</v>
      </c>
      <c r="AE515">
        <f>ROUND(((EU515*2)),6)</f>
        <v>0</v>
      </c>
      <c r="AF515">
        <f>ROUND(((EV515*2)),6)</f>
        <v>425.8</v>
      </c>
      <c r="AG515">
        <f t="shared" si="261"/>
        <v>0</v>
      </c>
      <c r="AH515">
        <f>((EW515*2))</f>
        <v>0.6</v>
      </c>
      <c r="AI515">
        <f>((EX515*2))</f>
        <v>0</v>
      </c>
      <c r="AJ515">
        <f t="shared" si="262"/>
        <v>0</v>
      </c>
      <c r="AK515">
        <v>217.43</v>
      </c>
      <c r="AL515">
        <v>4.53</v>
      </c>
      <c r="AM515">
        <v>0</v>
      </c>
      <c r="AN515">
        <v>0</v>
      </c>
      <c r="AO515">
        <v>212.9</v>
      </c>
      <c r="AP515">
        <v>0</v>
      </c>
      <c r="AQ515">
        <v>0.3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249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263"/>
        <v>1304.5800000000002</v>
      </c>
      <c r="CQ515">
        <f t="shared" si="264"/>
        <v>9.06</v>
      </c>
      <c r="CR515">
        <f>(((((ET515*2))*BB515-((EU515*2))*BS515)+AE515*BS515)*AV515)</f>
        <v>0</v>
      </c>
      <c r="CS515">
        <f t="shared" si="265"/>
        <v>0</v>
      </c>
      <c r="CT515">
        <f t="shared" si="266"/>
        <v>425.8</v>
      </c>
      <c r="CU515">
        <f t="shared" si="267"/>
        <v>0</v>
      </c>
      <c r="CV515">
        <f t="shared" si="268"/>
        <v>0.6</v>
      </c>
      <c r="CW515">
        <f t="shared" si="269"/>
        <v>0</v>
      </c>
      <c r="CX515">
        <f t="shared" si="270"/>
        <v>0</v>
      </c>
      <c r="CY515">
        <f t="shared" si="271"/>
        <v>894.18</v>
      </c>
      <c r="CZ515">
        <f t="shared" si="272"/>
        <v>127.74</v>
      </c>
      <c r="DC515" t="s">
        <v>3</v>
      </c>
      <c r="DD515" t="s">
        <v>181</v>
      </c>
      <c r="DE515" t="s">
        <v>181</v>
      </c>
      <c r="DF515" t="s">
        <v>181</v>
      </c>
      <c r="DG515" t="s">
        <v>181</v>
      </c>
      <c r="DH515" t="s">
        <v>3</v>
      </c>
      <c r="DI515" t="s">
        <v>181</v>
      </c>
      <c r="DJ515" t="s">
        <v>181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16987630</v>
      </c>
      <c r="DV515" t="s">
        <v>18</v>
      </c>
      <c r="DW515" t="s">
        <v>18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3</v>
      </c>
      <c r="EQ515">
        <v>0</v>
      </c>
      <c r="ER515">
        <v>217.43</v>
      </c>
      <c r="ES515">
        <v>4.53</v>
      </c>
      <c r="ET515">
        <v>0</v>
      </c>
      <c r="EU515">
        <v>0</v>
      </c>
      <c r="EV515">
        <v>212.9</v>
      </c>
      <c r="EW515">
        <v>0.3</v>
      </c>
      <c r="EX515">
        <v>0</v>
      </c>
      <c r="EY515">
        <v>0</v>
      </c>
      <c r="FQ515">
        <v>0</v>
      </c>
      <c r="FR515">
        <f t="shared" si="273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1338640914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274"/>
        <v>0</v>
      </c>
      <c r="GM515">
        <f t="shared" si="275"/>
        <v>2326.5</v>
      </c>
      <c r="GN515">
        <f t="shared" si="276"/>
        <v>0</v>
      </c>
      <c r="GO515">
        <f t="shared" si="277"/>
        <v>0</v>
      </c>
      <c r="GP515">
        <f t="shared" si="278"/>
        <v>2326.5</v>
      </c>
      <c r="GR515">
        <v>0</v>
      </c>
      <c r="GS515">
        <v>3</v>
      </c>
      <c r="GT515">
        <v>0</v>
      </c>
      <c r="GU515" t="s">
        <v>3</v>
      </c>
      <c r="GV515">
        <f t="shared" si="279"/>
        <v>0</v>
      </c>
      <c r="GW515">
        <v>1</v>
      </c>
      <c r="GX515">
        <f t="shared" si="280"/>
        <v>0</v>
      </c>
      <c r="HA515">
        <v>0</v>
      </c>
      <c r="HB515">
        <v>0</v>
      </c>
      <c r="HC515">
        <f t="shared" si="281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C516">
        <f>ROW(SmtRes!A71)</f>
        <v>71</v>
      </c>
      <c r="D516">
        <f>ROW(EtalonRes!A156)</f>
        <v>156</v>
      </c>
      <c r="E516" t="s">
        <v>3</v>
      </c>
      <c r="F516" t="s">
        <v>243</v>
      </c>
      <c r="G516" t="s">
        <v>260</v>
      </c>
      <c r="H516" t="s">
        <v>18</v>
      </c>
      <c r="I516">
        <v>1</v>
      </c>
      <c r="J516">
        <v>0</v>
      </c>
      <c r="K516">
        <v>1</v>
      </c>
      <c r="O516">
        <f t="shared" si="249"/>
        <v>558.16</v>
      </c>
      <c r="P516">
        <f t="shared" si="250"/>
        <v>23.48</v>
      </c>
      <c r="Q516">
        <f t="shared" si="251"/>
        <v>52.12</v>
      </c>
      <c r="R516">
        <f t="shared" si="252"/>
        <v>33.04</v>
      </c>
      <c r="S516">
        <f t="shared" si="253"/>
        <v>482.56</v>
      </c>
      <c r="T516">
        <f t="shared" si="254"/>
        <v>0</v>
      </c>
      <c r="U516">
        <f t="shared" si="255"/>
        <v>0.68</v>
      </c>
      <c r="V516">
        <f t="shared" si="256"/>
        <v>0</v>
      </c>
      <c r="W516">
        <f t="shared" si="257"/>
        <v>0</v>
      </c>
      <c r="X516">
        <f t="shared" si="258"/>
        <v>337.79</v>
      </c>
      <c r="Y516">
        <f t="shared" si="259"/>
        <v>48.26</v>
      </c>
      <c r="AA516">
        <v>-1</v>
      </c>
      <c r="AB516">
        <f t="shared" si="260"/>
        <v>558.16</v>
      </c>
      <c r="AC516">
        <f>ROUND(((ES516*4)),6)</f>
        <v>23.48</v>
      </c>
      <c r="AD516">
        <f>ROUND(((((ET516*4))-((EU516*4)))+AE516),6)</f>
        <v>52.12</v>
      </c>
      <c r="AE516">
        <f>ROUND(((EU516*4)),6)</f>
        <v>33.04</v>
      </c>
      <c r="AF516">
        <f>ROUND(((EV516*4)),6)</f>
        <v>482.56</v>
      </c>
      <c r="AG516">
        <f t="shared" si="261"/>
        <v>0</v>
      </c>
      <c r="AH516">
        <f>((EW516*4))</f>
        <v>0.68</v>
      </c>
      <c r="AI516">
        <f>((EX516*4))</f>
        <v>0</v>
      </c>
      <c r="AJ516">
        <f t="shared" si="262"/>
        <v>0</v>
      </c>
      <c r="AK516">
        <v>139.54</v>
      </c>
      <c r="AL516">
        <v>5.87</v>
      </c>
      <c r="AM516">
        <v>13.03</v>
      </c>
      <c r="AN516">
        <v>8.26</v>
      </c>
      <c r="AO516">
        <v>120.64</v>
      </c>
      <c r="AP516">
        <v>0</v>
      </c>
      <c r="AQ516">
        <v>0.17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245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263"/>
        <v>558.16</v>
      </c>
      <c r="CQ516">
        <f t="shared" si="264"/>
        <v>23.48</v>
      </c>
      <c r="CR516">
        <f>(((((ET516*4))*BB516-((EU516*4))*BS516)+AE516*BS516)*AV516)</f>
        <v>52.12</v>
      </c>
      <c r="CS516">
        <f t="shared" si="265"/>
        <v>33.04</v>
      </c>
      <c r="CT516">
        <f t="shared" si="266"/>
        <v>482.56</v>
      </c>
      <c r="CU516">
        <f t="shared" si="267"/>
        <v>0</v>
      </c>
      <c r="CV516">
        <f t="shared" si="268"/>
        <v>0.68</v>
      </c>
      <c r="CW516">
        <f t="shared" si="269"/>
        <v>0</v>
      </c>
      <c r="CX516">
        <f t="shared" si="270"/>
        <v>0</v>
      </c>
      <c r="CY516">
        <f t="shared" si="271"/>
        <v>337.79199999999997</v>
      </c>
      <c r="CZ516">
        <f t="shared" si="272"/>
        <v>48.256</v>
      </c>
      <c r="DC516" t="s">
        <v>3</v>
      </c>
      <c r="DD516" t="s">
        <v>28</v>
      </c>
      <c r="DE516" t="s">
        <v>28</v>
      </c>
      <c r="DF516" t="s">
        <v>28</v>
      </c>
      <c r="DG516" t="s">
        <v>28</v>
      </c>
      <c r="DH516" t="s">
        <v>3</v>
      </c>
      <c r="DI516" t="s">
        <v>28</v>
      </c>
      <c r="DJ516" t="s">
        <v>28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18</v>
      </c>
      <c r="DW516" t="s">
        <v>18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1024</v>
      </c>
      <c r="ER516">
        <v>139.54</v>
      </c>
      <c r="ES516">
        <v>5.87</v>
      </c>
      <c r="ET516">
        <v>13.03</v>
      </c>
      <c r="EU516">
        <v>8.26</v>
      </c>
      <c r="EV516">
        <v>120.64</v>
      </c>
      <c r="EW516">
        <v>0.17</v>
      </c>
      <c r="EX516">
        <v>0</v>
      </c>
      <c r="EY516">
        <v>0</v>
      </c>
      <c r="FQ516">
        <v>0</v>
      </c>
      <c r="FR516">
        <f t="shared" si="273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821403415</v>
      </c>
      <c r="GG516">
        <v>2</v>
      </c>
      <c r="GH516">
        <v>1</v>
      </c>
      <c r="GI516">
        <v>-2</v>
      </c>
      <c r="GJ516">
        <v>0</v>
      </c>
      <c r="GK516">
        <f>ROUND(R516*(R12)/100,2)</f>
        <v>35.68</v>
      </c>
      <c r="GL516">
        <f t="shared" si="274"/>
        <v>0</v>
      </c>
      <c r="GM516">
        <f t="shared" si="275"/>
        <v>979.89</v>
      </c>
      <c r="GN516">
        <f t="shared" si="276"/>
        <v>0</v>
      </c>
      <c r="GO516">
        <f t="shared" si="277"/>
        <v>0</v>
      </c>
      <c r="GP516">
        <f t="shared" si="278"/>
        <v>979.89</v>
      </c>
      <c r="GR516">
        <v>0</v>
      </c>
      <c r="GS516">
        <v>3</v>
      </c>
      <c r="GT516">
        <v>0</v>
      </c>
      <c r="GU516" t="s">
        <v>3</v>
      </c>
      <c r="GV516">
        <f t="shared" si="279"/>
        <v>0</v>
      </c>
      <c r="GW516">
        <v>1</v>
      </c>
      <c r="GX516">
        <f t="shared" si="280"/>
        <v>0</v>
      </c>
      <c r="HA516">
        <v>0</v>
      </c>
      <c r="HB516">
        <v>0</v>
      </c>
      <c r="HC516">
        <f t="shared" si="281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C517">
        <f>ROW(SmtRes!A74)</f>
        <v>74</v>
      </c>
      <c r="D517">
        <f>ROW(EtalonRes!A159)</f>
        <v>159</v>
      </c>
      <c r="E517" t="s">
        <v>261</v>
      </c>
      <c r="F517" t="s">
        <v>247</v>
      </c>
      <c r="G517" t="s">
        <v>248</v>
      </c>
      <c r="H517" t="s">
        <v>18</v>
      </c>
      <c r="I517">
        <f>ROUND(1+4,9)</f>
        <v>5</v>
      </c>
      <c r="J517">
        <v>0</v>
      </c>
      <c r="K517">
        <f>ROUND(1+4,9)</f>
        <v>5</v>
      </c>
      <c r="O517">
        <f t="shared" si="249"/>
        <v>2174.3000000000002</v>
      </c>
      <c r="P517">
        <f t="shared" si="250"/>
        <v>45.3</v>
      </c>
      <c r="Q517">
        <f t="shared" si="251"/>
        <v>0</v>
      </c>
      <c r="R517">
        <f t="shared" si="252"/>
        <v>0</v>
      </c>
      <c r="S517">
        <f t="shared" si="253"/>
        <v>2129</v>
      </c>
      <c r="T517">
        <f t="shared" si="254"/>
        <v>0</v>
      </c>
      <c r="U517">
        <f t="shared" si="255"/>
        <v>3</v>
      </c>
      <c r="V517">
        <f t="shared" si="256"/>
        <v>0</v>
      </c>
      <c r="W517">
        <f t="shared" si="257"/>
        <v>0</v>
      </c>
      <c r="X517">
        <f t="shared" si="258"/>
        <v>1490.3</v>
      </c>
      <c r="Y517">
        <f t="shared" si="259"/>
        <v>212.9</v>
      </c>
      <c r="AA517">
        <v>1473080740</v>
      </c>
      <c r="AB517">
        <f t="shared" si="260"/>
        <v>434.86</v>
      </c>
      <c r="AC517">
        <f>ROUND(((ES517*2)),6)</f>
        <v>9.06</v>
      </c>
      <c r="AD517">
        <f>ROUND(((((ET517*2))-((EU517*2)))+AE517),6)</f>
        <v>0</v>
      </c>
      <c r="AE517">
        <f>ROUND(((EU517*2)),6)</f>
        <v>0</v>
      </c>
      <c r="AF517">
        <f>ROUND(((EV517*2)),6)</f>
        <v>425.8</v>
      </c>
      <c r="AG517">
        <f t="shared" si="261"/>
        <v>0</v>
      </c>
      <c r="AH517">
        <f>((EW517*2))</f>
        <v>0.6</v>
      </c>
      <c r="AI517">
        <f>((EX517*2))</f>
        <v>0</v>
      </c>
      <c r="AJ517">
        <f t="shared" si="262"/>
        <v>0</v>
      </c>
      <c r="AK517">
        <v>217.43</v>
      </c>
      <c r="AL517">
        <v>4.53</v>
      </c>
      <c r="AM517">
        <v>0</v>
      </c>
      <c r="AN517">
        <v>0</v>
      </c>
      <c r="AO517">
        <v>212.9</v>
      </c>
      <c r="AP517">
        <v>0</v>
      </c>
      <c r="AQ517">
        <v>0.3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249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263"/>
        <v>2174.3000000000002</v>
      </c>
      <c r="CQ517">
        <f t="shared" si="264"/>
        <v>9.06</v>
      </c>
      <c r="CR517">
        <f>(((((ET517*2))*BB517-((EU517*2))*BS517)+AE517*BS517)*AV517)</f>
        <v>0</v>
      </c>
      <c r="CS517">
        <f t="shared" si="265"/>
        <v>0</v>
      </c>
      <c r="CT517">
        <f t="shared" si="266"/>
        <v>425.8</v>
      </c>
      <c r="CU517">
        <f t="shared" si="267"/>
        <v>0</v>
      </c>
      <c r="CV517">
        <f t="shared" si="268"/>
        <v>0.6</v>
      </c>
      <c r="CW517">
        <f t="shared" si="269"/>
        <v>0</v>
      </c>
      <c r="CX517">
        <f t="shared" si="270"/>
        <v>0</v>
      </c>
      <c r="CY517">
        <f t="shared" si="271"/>
        <v>1490.3</v>
      </c>
      <c r="CZ517">
        <f t="shared" si="272"/>
        <v>212.9</v>
      </c>
      <c r="DC517" t="s">
        <v>3</v>
      </c>
      <c r="DD517" t="s">
        <v>181</v>
      </c>
      <c r="DE517" t="s">
        <v>181</v>
      </c>
      <c r="DF517" t="s">
        <v>181</v>
      </c>
      <c r="DG517" t="s">
        <v>181</v>
      </c>
      <c r="DH517" t="s">
        <v>3</v>
      </c>
      <c r="DI517" t="s">
        <v>181</v>
      </c>
      <c r="DJ517" t="s">
        <v>181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18</v>
      </c>
      <c r="DW517" t="s">
        <v>18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217.43</v>
      </c>
      <c r="ES517">
        <v>4.53</v>
      </c>
      <c r="ET517">
        <v>0</v>
      </c>
      <c r="EU517">
        <v>0</v>
      </c>
      <c r="EV517">
        <v>212.9</v>
      </c>
      <c r="EW517">
        <v>0.3</v>
      </c>
      <c r="EX517">
        <v>0</v>
      </c>
      <c r="EY517">
        <v>0</v>
      </c>
      <c r="FQ517">
        <v>0</v>
      </c>
      <c r="FR517">
        <f t="shared" si="273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1338640914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274"/>
        <v>0</v>
      </c>
      <c r="GM517">
        <f t="shared" si="275"/>
        <v>3877.5</v>
      </c>
      <c r="GN517">
        <f t="shared" si="276"/>
        <v>0</v>
      </c>
      <c r="GO517">
        <f t="shared" si="277"/>
        <v>0</v>
      </c>
      <c r="GP517">
        <f t="shared" si="278"/>
        <v>3877.5</v>
      </c>
      <c r="GR517">
        <v>0</v>
      </c>
      <c r="GS517">
        <v>3</v>
      </c>
      <c r="GT517">
        <v>0</v>
      </c>
      <c r="GU517" t="s">
        <v>3</v>
      </c>
      <c r="GV517">
        <f t="shared" si="279"/>
        <v>0</v>
      </c>
      <c r="GW517">
        <v>1</v>
      </c>
      <c r="GX517">
        <f t="shared" si="280"/>
        <v>0</v>
      </c>
      <c r="HA517">
        <v>0</v>
      </c>
      <c r="HB517">
        <v>0</v>
      </c>
      <c r="HC517">
        <f t="shared" si="281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C518">
        <f>ROW(SmtRes!A75)</f>
        <v>75</v>
      </c>
      <c r="D518">
        <f>ROW(EtalonRes!A160)</f>
        <v>160</v>
      </c>
      <c r="E518" t="s">
        <v>3</v>
      </c>
      <c r="F518" t="s">
        <v>252</v>
      </c>
      <c r="G518" t="s">
        <v>253</v>
      </c>
      <c r="H518" t="s">
        <v>32</v>
      </c>
      <c r="I518">
        <f>ROUND(1/10,9)</f>
        <v>0.1</v>
      </c>
      <c r="J518">
        <v>0</v>
      </c>
      <c r="K518">
        <f>ROUND(1/10,9)</f>
        <v>0.1</v>
      </c>
      <c r="O518">
        <f t="shared" si="249"/>
        <v>85.15</v>
      </c>
      <c r="P518">
        <f t="shared" si="250"/>
        <v>0</v>
      </c>
      <c r="Q518">
        <f t="shared" si="251"/>
        <v>0</v>
      </c>
      <c r="R518">
        <f t="shared" si="252"/>
        <v>0</v>
      </c>
      <c r="S518">
        <f t="shared" si="253"/>
        <v>85.15</v>
      </c>
      <c r="T518">
        <f t="shared" si="254"/>
        <v>0</v>
      </c>
      <c r="U518">
        <f t="shared" si="255"/>
        <v>0.16800000000000004</v>
      </c>
      <c r="V518">
        <f t="shared" si="256"/>
        <v>0</v>
      </c>
      <c r="W518">
        <f t="shared" si="257"/>
        <v>0</v>
      </c>
      <c r="X518">
        <f t="shared" si="258"/>
        <v>59.61</v>
      </c>
      <c r="Y518">
        <f t="shared" si="259"/>
        <v>8.52</v>
      </c>
      <c r="AA518">
        <v>-1</v>
      </c>
      <c r="AB518">
        <f t="shared" si="260"/>
        <v>851.52</v>
      </c>
      <c r="AC518">
        <f>ROUND(((ES518*3)),6)</f>
        <v>0</v>
      </c>
      <c r="AD518">
        <f>ROUND(((((ET518*3))-((EU518*3)))+AE518),6)</f>
        <v>0</v>
      </c>
      <c r="AE518">
        <f>ROUND(((EU518*3)),6)</f>
        <v>0</v>
      </c>
      <c r="AF518">
        <f>ROUND(((EV518*3)),6)</f>
        <v>851.52</v>
      </c>
      <c r="AG518">
        <f t="shared" si="261"/>
        <v>0</v>
      </c>
      <c r="AH518">
        <f>((EW518*3))</f>
        <v>1.6800000000000002</v>
      </c>
      <c r="AI518">
        <f>((EX518*3))</f>
        <v>0</v>
      </c>
      <c r="AJ518">
        <f t="shared" si="262"/>
        <v>0</v>
      </c>
      <c r="AK518">
        <v>283.83999999999997</v>
      </c>
      <c r="AL518">
        <v>0</v>
      </c>
      <c r="AM518">
        <v>0</v>
      </c>
      <c r="AN518">
        <v>0</v>
      </c>
      <c r="AO518">
        <v>283.83999999999997</v>
      </c>
      <c r="AP518">
        <v>0</v>
      </c>
      <c r="AQ518">
        <v>0.56000000000000005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254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263"/>
        <v>85.15</v>
      </c>
      <c r="CQ518">
        <f t="shared" si="264"/>
        <v>0</v>
      </c>
      <c r="CR518">
        <f>(((((ET518*3))*BB518-((EU518*3))*BS518)+AE518*BS518)*AV518)</f>
        <v>0</v>
      </c>
      <c r="CS518">
        <f t="shared" si="265"/>
        <v>0</v>
      </c>
      <c r="CT518">
        <f t="shared" si="266"/>
        <v>851.52</v>
      </c>
      <c r="CU518">
        <f t="shared" si="267"/>
        <v>0</v>
      </c>
      <c r="CV518">
        <f t="shared" si="268"/>
        <v>1.6800000000000002</v>
      </c>
      <c r="CW518">
        <f t="shared" si="269"/>
        <v>0</v>
      </c>
      <c r="CX518">
        <f t="shared" si="270"/>
        <v>0</v>
      </c>
      <c r="CY518">
        <f t="shared" si="271"/>
        <v>59.604999999999997</v>
      </c>
      <c r="CZ518">
        <f t="shared" si="272"/>
        <v>8.5150000000000006</v>
      </c>
      <c r="DC518" t="s">
        <v>3</v>
      </c>
      <c r="DD518" t="s">
        <v>163</v>
      </c>
      <c r="DE518" t="s">
        <v>163</v>
      </c>
      <c r="DF518" t="s">
        <v>163</v>
      </c>
      <c r="DG518" t="s">
        <v>163</v>
      </c>
      <c r="DH518" t="s">
        <v>3</v>
      </c>
      <c r="DI518" t="s">
        <v>163</v>
      </c>
      <c r="DJ518" t="s">
        <v>163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32</v>
      </c>
      <c r="DW518" t="s">
        <v>32</v>
      </c>
      <c r="DX518">
        <v>10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1024</v>
      </c>
      <c r="ER518">
        <v>283.83999999999997</v>
      </c>
      <c r="ES518">
        <v>0</v>
      </c>
      <c r="ET518">
        <v>0</v>
      </c>
      <c r="EU518">
        <v>0</v>
      </c>
      <c r="EV518">
        <v>283.83999999999997</v>
      </c>
      <c r="EW518">
        <v>0.56000000000000005</v>
      </c>
      <c r="EX518">
        <v>0</v>
      </c>
      <c r="EY518">
        <v>0</v>
      </c>
      <c r="FQ518">
        <v>0</v>
      </c>
      <c r="FR518">
        <f t="shared" si="273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1038359689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274"/>
        <v>0</v>
      </c>
      <c r="GM518">
        <f t="shared" si="275"/>
        <v>153.28</v>
      </c>
      <c r="GN518">
        <f t="shared" si="276"/>
        <v>0</v>
      </c>
      <c r="GO518">
        <f t="shared" si="277"/>
        <v>0</v>
      </c>
      <c r="GP518">
        <f t="shared" si="278"/>
        <v>153.28</v>
      </c>
      <c r="GR518">
        <v>0</v>
      </c>
      <c r="GS518">
        <v>3</v>
      </c>
      <c r="GT518">
        <v>0</v>
      </c>
      <c r="GU518" t="s">
        <v>3</v>
      </c>
      <c r="GV518">
        <f t="shared" si="279"/>
        <v>0</v>
      </c>
      <c r="GW518">
        <v>1</v>
      </c>
      <c r="GX518">
        <f t="shared" si="280"/>
        <v>0</v>
      </c>
      <c r="HA518">
        <v>0</v>
      </c>
      <c r="HB518">
        <v>0</v>
      </c>
      <c r="HC518">
        <f t="shared" si="281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C519">
        <f>ROW(SmtRes!A76)</f>
        <v>76</v>
      </c>
      <c r="D519">
        <f>ROW(EtalonRes!A161)</f>
        <v>161</v>
      </c>
      <c r="E519" t="s">
        <v>262</v>
      </c>
      <c r="F519" t="s">
        <v>256</v>
      </c>
      <c r="G519" t="s">
        <v>257</v>
      </c>
      <c r="H519" t="s">
        <v>18</v>
      </c>
      <c r="I519">
        <v>1</v>
      </c>
      <c r="J519">
        <v>0</v>
      </c>
      <c r="K519">
        <v>1</v>
      </c>
      <c r="O519">
        <f t="shared" si="249"/>
        <v>89.95</v>
      </c>
      <c r="P519">
        <f t="shared" si="250"/>
        <v>0</v>
      </c>
      <c r="Q519">
        <f t="shared" si="251"/>
        <v>0</v>
      </c>
      <c r="R519">
        <f t="shared" si="252"/>
        <v>0</v>
      </c>
      <c r="S519">
        <f t="shared" si="253"/>
        <v>89.95</v>
      </c>
      <c r="T519">
        <f t="shared" si="254"/>
        <v>0</v>
      </c>
      <c r="U519">
        <f t="shared" si="255"/>
        <v>0.16</v>
      </c>
      <c r="V519">
        <f t="shared" si="256"/>
        <v>0</v>
      </c>
      <c r="W519">
        <f t="shared" si="257"/>
        <v>0</v>
      </c>
      <c r="X519">
        <f t="shared" si="258"/>
        <v>62.97</v>
      </c>
      <c r="Y519">
        <f t="shared" si="259"/>
        <v>9</v>
      </c>
      <c r="AA519">
        <v>1473080740</v>
      </c>
      <c r="AB519">
        <f t="shared" si="260"/>
        <v>89.95</v>
      </c>
      <c r="AC519">
        <f>ROUND((ES519),6)</f>
        <v>0</v>
      </c>
      <c r="AD519">
        <f>ROUND((((ET519)-(EU519))+AE519),6)</f>
        <v>0</v>
      </c>
      <c r="AE519">
        <f>ROUND((EU519),6)</f>
        <v>0</v>
      </c>
      <c r="AF519">
        <f>ROUND((EV519),6)</f>
        <v>89.95</v>
      </c>
      <c r="AG519">
        <f t="shared" si="261"/>
        <v>0</v>
      </c>
      <c r="AH519">
        <f>(EW519)</f>
        <v>0.16</v>
      </c>
      <c r="AI519">
        <f>(EX519)</f>
        <v>0</v>
      </c>
      <c r="AJ519">
        <f t="shared" si="262"/>
        <v>0</v>
      </c>
      <c r="AK519">
        <v>89.95</v>
      </c>
      <c r="AL519">
        <v>0</v>
      </c>
      <c r="AM519">
        <v>0</v>
      </c>
      <c r="AN519">
        <v>0</v>
      </c>
      <c r="AO519">
        <v>89.95</v>
      </c>
      <c r="AP519">
        <v>0</v>
      </c>
      <c r="AQ519">
        <v>0.16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258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263"/>
        <v>89.95</v>
      </c>
      <c r="CQ519">
        <f t="shared" si="264"/>
        <v>0</v>
      </c>
      <c r="CR519">
        <f>((((ET519)*BB519-(EU519)*BS519)+AE519*BS519)*AV519)</f>
        <v>0</v>
      </c>
      <c r="CS519">
        <f t="shared" si="265"/>
        <v>0</v>
      </c>
      <c r="CT519">
        <f t="shared" si="266"/>
        <v>89.95</v>
      </c>
      <c r="CU519">
        <f t="shared" si="267"/>
        <v>0</v>
      </c>
      <c r="CV519">
        <f t="shared" si="268"/>
        <v>0.16</v>
      </c>
      <c r="CW519">
        <f t="shared" si="269"/>
        <v>0</v>
      </c>
      <c r="CX519">
        <f t="shared" si="270"/>
        <v>0</v>
      </c>
      <c r="CY519">
        <f t="shared" si="271"/>
        <v>62.965000000000003</v>
      </c>
      <c r="CZ519">
        <f t="shared" si="272"/>
        <v>8.9949999999999992</v>
      </c>
      <c r="DC519" t="s">
        <v>3</v>
      </c>
      <c r="DD519" t="s">
        <v>3</v>
      </c>
      <c r="DE519" t="s">
        <v>3</v>
      </c>
      <c r="DF519" t="s">
        <v>3</v>
      </c>
      <c r="DG519" t="s">
        <v>3</v>
      </c>
      <c r="DH519" t="s">
        <v>3</v>
      </c>
      <c r="DI519" t="s">
        <v>3</v>
      </c>
      <c r="DJ519" t="s">
        <v>3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18</v>
      </c>
      <c r="DW519" t="s">
        <v>18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0</v>
      </c>
      <c r="ER519">
        <v>89.95</v>
      </c>
      <c r="ES519">
        <v>0</v>
      </c>
      <c r="ET519">
        <v>0</v>
      </c>
      <c r="EU519">
        <v>0</v>
      </c>
      <c r="EV519">
        <v>89.95</v>
      </c>
      <c r="EW519">
        <v>0.16</v>
      </c>
      <c r="EX519">
        <v>0</v>
      </c>
      <c r="EY519">
        <v>0</v>
      </c>
      <c r="FQ519">
        <v>0</v>
      </c>
      <c r="FR519">
        <f t="shared" si="273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-864364953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</v>
      </c>
      <c r="GL519">
        <f t="shared" si="274"/>
        <v>0</v>
      </c>
      <c r="GM519">
        <f t="shared" si="275"/>
        <v>161.91999999999999</v>
      </c>
      <c r="GN519">
        <f t="shared" si="276"/>
        <v>0</v>
      </c>
      <c r="GO519">
        <f t="shared" si="277"/>
        <v>0</v>
      </c>
      <c r="GP519">
        <f t="shared" si="278"/>
        <v>161.91999999999999</v>
      </c>
      <c r="GR519">
        <v>0</v>
      </c>
      <c r="GS519">
        <v>3</v>
      </c>
      <c r="GT519">
        <v>0</v>
      </c>
      <c r="GU519" t="s">
        <v>3</v>
      </c>
      <c r="GV519">
        <f t="shared" si="279"/>
        <v>0</v>
      </c>
      <c r="GW519">
        <v>1</v>
      </c>
      <c r="GX519">
        <f t="shared" si="280"/>
        <v>0</v>
      </c>
      <c r="HA519">
        <v>0</v>
      </c>
      <c r="HB519">
        <v>0</v>
      </c>
      <c r="HC519">
        <f t="shared" si="281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C520">
        <f>ROW(SmtRes!A79)</f>
        <v>79</v>
      </c>
      <c r="D520">
        <f>ROW(EtalonRes!A164)</f>
        <v>164</v>
      </c>
      <c r="E520" t="s">
        <v>263</v>
      </c>
      <c r="F520" t="s">
        <v>247</v>
      </c>
      <c r="G520" t="s">
        <v>248</v>
      </c>
      <c r="H520" t="s">
        <v>18</v>
      </c>
      <c r="I520">
        <v>3</v>
      </c>
      <c r="J520">
        <v>0</v>
      </c>
      <c r="K520">
        <v>3</v>
      </c>
      <c r="O520">
        <f t="shared" si="249"/>
        <v>1304.58</v>
      </c>
      <c r="P520">
        <f t="shared" si="250"/>
        <v>27.18</v>
      </c>
      <c r="Q520">
        <f t="shared" si="251"/>
        <v>0</v>
      </c>
      <c r="R520">
        <f t="shared" si="252"/>
        <v>0</v>
      </c>
      <c r="S520">
        <f t="shared" si="253"/>
        <v>1277.4000000000001</v>
      </c>
      <c r="T520">
        <f t="shared" si="254"/>
        <v>0</v>
      </c>
      <c r="U520">
        <f t="shared" si="255"/>
        <v>1.7999999999999998</v>
      </c>
      <c r="V520">
        <f t="shared" si="256"/>
        <v>0</v>
      </c>
      <c r="W520">
        <f t="shared" si="257"/>
        <v>0</v>
      </c>
      <c r="X520">
        <f t="shared" si="258"/>
        <v>894.18</v>
      </c>
      <c r="Y520">
        <f t="shared" si="259"/>
        <v>127.74</v>
      </c>
      <c r="AA520">
        <v>1473080740</v>
      </c>
      <c r="AB520">
        <f t="shared" si="260"/>
        <v>434.86</v>
      </c>
      <c r="AC520">
        <f>ROUND(((ES520*2)),6)</f>
        <v>9.06</v>
      </c>
      <c r="AD520">
        <f>ROUND(((((ET520*2))-((EU520*2)))+AE520),6)</f>
        <v>0</v>
      </c>
      <c r="AE520">
        <f>ROUND(((EU520*2)),6)</f>
        <v>0</v>
      </c>
      <c r="AF520">
        <f>ROUND(((EV520*2)),6)</f>
        <v>425.8</v>
      </c>
      <c r="AG520">
        <f t="shared" si="261"/>
        <v>0</v>
      </c>
      <c r="AH520">
        <f>((EW520*2))</f>
        <v>0.6</v>
      </c>
      <c r="AI520">
        <f>((EX520*2))</f>
        <v>0</v>
      </c>
      <c r="AJ520">
        <f t="shared" si="262"/>
        <v>0</v>
      </c>
      <c r="AK520">
        <v>217.43</v>
      </c>
      <c r="AL520">
        <v>4.53</v>
      </c>
      <c r="AM520">
        <v>0</v>
      </c>
      <c r="AN520">
        <v>0</v>
      </c>
      <c r="AO520">
        <v>212.9</v>
      </c>
      <c r="AP520">
        <v>0</v>
      </c>
      <c r="AQ520">
        <v>0.3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249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263"/>
        <v>1304.5800000000002</v>
      </c>
      <c r="CQ520">
        <f t="shared" si="264"/>
        <v>9.06</v>
      </c>
      <c r="CR520">
        <f>(((((ET520*2))*BB520-((EU520*2))*BS520)+AE520*BS520)*AV520)</f>
        <v>0</v>
      </c>
      <c r="CS520">
        <f t="shared" si="265"/>
        <v>0</v>
      </c>
      <c r="CT520">
        <f t="shared" si="266"/>
        <v>425.8</v>
      </c>
      <c r="CU520">
        <f t="shared" si="267"/>
        <v>0</v>
      </c>
      <c r="CV520">
        <f t="shared" si="268"/>
        <v>0.6</v>
      </c>
      <c r="CW520">
        <f t="shared" si="269"/>
        <v>0</v>
      </c>
      <c r="CX520">
        <f t="shared" si="270"/>
        <v>0</v>
      </c>
      <c r="CY520">
        <f t="shared" si="271"/>
        <v>894.18</v>
      </c>
      <c r="CZ520">
        <f t="shared" si="272"/>
        <v>127.74</v>
      </c>
      <c r="DC520" t="s">
        <v>3</v>
      </c>
      <c r="DD520" t="s">
        <v>181</v>
      </c>
      <c r="DE520" t="s">
        <v>181</v>
      </c>
      <c r="DF520" t="s">
        <v>181</v>
      </c>
      <c r="DG520" t="s">
        <v>181</v>
      </c>
      <c r="DH520" t="s">
        <v>3</v>
      </c>
      <c r="DI520" t="s">
        <v>181</v>
      </c>
      <c r="DJ520" t="s">
        <v>181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18</v>
      </c>
      <c r="DW520" t="s">
        <v>18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0</v>
      </c>
      <c r="ER520">
        <v>217.43</v>
      </c>
      <c r="ES520">
        <v>4.53</v>
      </c>
      <c r="ET520">
        <v>0</v>
      </c>
      <c r="EU520">
        <v>0</v>
      </c>
      <c r="EV520">
        <v>212.9</v>
      </c>
      <c r="EW520">
        <v>0.3</v>
      </c>
      <c r="EX520">
        <v>0</v>
      </c>
      <c r="EY520">
        <v>0</v>
      </c>
      <c r="FQ520">
        <v>0</v>
      </c>
      <c r="FR520">
        <f t="shared" si="273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1338640914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</v>
      </c>
      <c r="GL520">
        <f t="shared" si="274"/>
        <v>0</v>
      </c>
      <c r="GM520">
        <f t="shared" si="275"/>
        <v>2326.5</v>
      </c>
      <c r="GN520">
        <f t="shared" si="276"/>
        <v>0</v>
      </c>
      <c r="GO520">
        <f t="shared" si="277"/>
        <v>0</v>
      </c>
      <c r="GP520">
        <f t="shared" si="278"/>
        <v>2326.5</v>
      </c>
      <c r="GR520">
        <v>0</v>
      </c>
      <c r="GS520">
        <v>3</v>
      </c>
      <c r="GT520">
        <v>0</v>
      </c>
      <c r="GU520" t="s">
        <v>3</v>
      </c>
      <c r="GV520">
        <f t="shared" si="279"/>
        <v>0</v>
      </c>
      <c r="GW520">
        <v>1</v>
      </c>
      <c r="GX520">
        <f t="shared" si="280"/>
        <v>0</v>
      </c>
      <c r="HA520">
        <v>0</v>
      </c>
      <c r="HB520">
        <v>0</v>
      </c>
      <c r="HC520">
        <f t="shared" si="281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C521">
        <f>ROW(SmtRes!A83)</f>
        <v>83</v>
      </c>
      <c r="D521">
        <f>ROW(EtalonRes!A168)</f>
        <v>168</v>
      </c>
      <c r="E521" t="s">
        <v>3</v>
      </c>
      <c r="F521" t="s">
        <v>243</v>
      </c>
      <c r="G521" t="s">
        <v>250</v>
      </c>
      <c r="H521" t="s">
        <v>18</v>
      </c>
      <c r="I521">
        <v>1</v>
      </c>
      <c r="J521">
        <v>0</v>
      </c>
      <c r="K521">
        <v>1</v>
      </c>
      <c r="O521">
        <f t="shared" si="249"/>
        <v>558.16</v>
      </c>
      <c r="P521">
        <f t="shared" si="250"/>
        <v>23.48</v>
      </c>
      <c r="Q521">
        <f t="shared" si="251"/>
        <v>52.12</v>
      </c>
      <c r="R521">
        <f t="shared" si="252"/>
        <v>33.04</v>
      </c>
      <c r="S521">
        <f t="shared" si="253"/>
        <v>482.56</v>
      </c>
      <c r="T521">
        <f t="shared" si="254"/>
        <v>0</v>
      </c>
      <c r="U521">
        <f t="shared" si="255"/>
        <v>0.68</v>
      </c>
      <c r="V521">
        <f t="shared" si="256"/>
        <v>0</v>
      </c>
      <c r="W521">
        <f t="shared" si="257"/>
        <v>0</v>
      </c>
      <c r="X521">
        <f t="shared" si="258"/>
        <v>337.79</v>
      </c>
      <c r="Y521">
        <f t="shared" si="259"/>
        <v>48.26</v>
      </c>
      <c r="AA521">
        <v>-1</v>
      </c>
      <c r="AB521">
        <f t="shared" si="260"/>
        <v>558.16</v>
      </c>
      <c r="AC521">
        <f>ROUND(((ES521*4)),6)</f>
        <v>23.48</v>
      </c>
      <c r="AD521">
        <f>ROUND(((((ET521*4))-((EU521*4)))+AE521),6)</f>
        <v>52.12</v>
      </c>
      <c r="AE521">
        <f>ROUND(((EU521*4)),6)</f>
        <v>33.04</v>
      </c>
      <c r="AF521">
        <f>ROUND(((EV521*4)),6)</f>
        <v>482.56</v>
      </c>
      <c r="AG521">
        <f t="shared" si="261"/>
        <v>0</v>
      </c>
      <c r="AH521">
        <f>((EW521*4))</f>
        <v>0.68</v>
      </c>
      <c r="AI521">
        <f>((EX521*4))</f>
        <v>0</v>
      </c>
      <c r="AJ521">
        <f t="shared" si="262"/>
        <v>0</v>
      </c>
      <c r="AK521">
        <v>139.54</v>
      </c>
      <c r="AL521">
        <v>5.87</v>
      </c>
      <c r="AM521">
        <v>13.03</v>
      </c>
      <c r="AN521">
        <v>8.26</v>
      </c>
      <c r="AO521">
        <v>120.64</v>
      </c>
      <c r="AP521">
        <v>0</v>
      </c>
      <c r="AQ521">
        <v>0.17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245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263"/>
        <v>558.16</v>
      </c>
      <c r="CQ521">
        <f t="shared" si="264"/>
        <v>23.48</v>
      </c>
      <c r="CR521">
        <f>(((((ET521*4))*BB521-((EU521*4))*BS521)+AE521*BS521)*AV521)</f>
        <v>52.12</v>
      </c>
      <c r="CS521">
        <f t="shared" si="265"/>
        <v>33.04</v>
      </c>
      <c r="CT521">
        <f t="shared" si="266"/>
        <v>482.56</v>
      </c>
      <c r="CU521">
        <f t="shared" si="267"/>
        <v>0</v>
      </c>
      <c r="CV521">
        <f t="shared" si="268"/>
        <v>0.68</v>
      </c>
      <c r="CW521">
        <f t="shared" si="269"/>
        <v>0</v>
      </c>
      <c r="CX521">
        <f t="shared" si="270"/>
        <v>0</v>
      </c>
      <c r="CY521">
        <f t="shared" si="271"/>
        <v>337.79199999999997</v>
      </c>
      <c r="CZ521">
        <f t="shared" si="272"/>
        <v>48.256</v>
      </c>
      <c r="DC521" t="s">
        <v>3</v>
      </c>
      <c r="DD521" t="s">
        <v>28</v>
      </c>
      <c r="DE521" t="s">
        <v>28</v>
      </c>
      <c r="DF521" t="s">
        <v>28</v>
      </c>
      <c r="DG521" t="s">
        <v>28</v>
      </c>
      <c r="DH521" t="s">
        <v>3</v>
      </c>
      <c r="DI521" t="s">
        <v>28</v>
      </c>
      <c r="DJ521" t="s">
        <v>28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18</v>
      </c>
      <c r="DW521" t="s">
        <v>18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1024</v>
      </c>
      <c r="ER521">
        <v>139.54</v>
      </c>
      <c r="ES521">
        <v>5.87</v>
      </c>
      <c r="ET521">
        <v>13.03</v>
      </c>
      <c r="EU521">
        <v>8.26</v>
      </c>
      <c r="EV521">
        <v>120.64</v>
      </c>
      <c r="EW521">
        <v>0.17</v>
      </c>
      <c r="EX521">
        <v>0</v>
      </c>
      <c r="EY521">
        <v>0</v>
      </c>
      <c r="FQ521">
        <v>0</v>
      </c>
      <c r="FR521">
        <f t="shared" si="273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-1745435892</v>
      </c>
      <c r="GG521">
        <v>2</v>
      </c>
      <c r="GH521">
        <v>1</v>
      </c>
      <c r="GI521">
        <v>-2</v>
      </c>
      <c r="GJ521">
        <v>0</v>
      </c>
      <c r="GK521">
        <f>ROUND(R521*(R12)/100,2)</f>
        <v>35.68</v>
      </c>
      <c r="GL521">
        <f t="shared" si="274"/>
        <v>0</v>
      </c>
      <c r="GM521">
        <f t="shared" si="275"/>
        <v>979.89</v>
      </c>
      <c r="GN521">
        <f t="shared" si="276"/>
        <v>0</v>
      </c>
      <c r="GO521">
        <f t="shared" si="277"/>
        <v>0</v>
      </c>
      <c r="GP521">
        <f t="shared" si="278"/>
        <v>979.89</v>
      </c>
      <c r="GR521">
        <v>0</v>
      </c>
      <c r="GS521">
        <v>3</v>
      </c>
      <c r="GT521">
        <v>0</v>
      </c>
      <c r="GU521" t="s">
        <v>3</v>
      </c>
      <c r="GV521">
        <f t="shared" si="279"/>
        <v>0</v>
      </c>
      <c r="GW521">
        <v>1</v>
      </c>
      <c r="GX521">
        <f t="shared" si="280"/>
        <v>0</v>
      </c>
      <c r="HA521">
        <v>0</v>
      </c>
      <c r="HB521">
        <v>0</v>
      </c>
      <c r="HC521">
        <f t="shared" si="281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C522">
        <f>ROW(SmtRes!A86)</f>
        <v>86</v>
      </c>
      <c r="D522">
        <f>ROW(EtalonRes!A171)</f>
        <v>171</v>
      </c>
      <c r="E522" t="s">
        <v>264</v>
      </c>
      <c r="F522" t="s">
        <v>247</v>
      </c>
      <c r="G522" t="s">
        <v>248</v>
      </c>
      <c r="H522" t="s">
        <v>18</v>
      </c>
      <c r="I522">
        <f>ROUND(1+3,9)</f>
        <v>4</v>
      </c>
      <c r="J522">
        <v>0</v>
      </c>
      <c r="K522">
        <f>ROUND(1+3,9)</f>
        <v>4</v>
      </c>
      <c r="O522">
        <f t="shared" si="249"/>
        <v>1739.44</v>
      </c>
      <c r="P522">
        <f t="shared" si="250"/>
        <v>36.24</v>
      </c>
      <c r="Q522">
        <f t="shared" si="251"/>
        <v>0</v>
      </c>
      <c r="R522">
        <f t="shared" si="252"/>
        <v>0</v>
      </c>
      <c r="S522">
        <f t="shared" si="253"/>
        <v>1703.2</v>
      </c>
      <c r="T522">
        <f t="shared" si="254"/>
        <v>0</v>
      </c>
      <c r="U522">
        <f t="shared" si="255"/>
        <v>2.4</v>
      </c>
      <c r="V522">
        <f t="shared" si="256"/>
        <v>0</v>
      </c>
      <c r="W522">
        <f t="shared" si="257"/>
        <v>0</v>
      </c>
      <c r="X522">
        <f t="shared" si="258"/>
        <v>1192.24</v>
      </c>
      <c r="Y522">
        <f t="shared" si="259"/>
        <v>170.32</v>
      </c>
      <c r="AA522">
        <v>1473080740</v>
      </c>
      <c r="AB522">
        <f t="shared" si="260"/>
        <v>434.86</v>
      </c>
      <c r="AC522">
        <f>ROUND(((ES522*2)),6)</f>
        <v>9.06</v>
      </c>
      <c r="AD522">
        <f>ROUND(((((ET522*2))-((EU522*2)))+AE522),6)</f>
        <v>0</v>
      </c>
      <c r="AE522">
        <f>ROUND(((EU522*2)),6)</f>
        <v>0</v>
      </c>
      <c r="AF522">
        <f>ROUND(((EV522*2)),6)</f>
        <v>425.8</v>
      </c>
      <c r="AG522">
        <f t="shared" si="261"/>
        <v>0</v>
      </c>
      <c r="AH522">
        <f>((EW522*2))</f>
        <v>0.6</v>
      </c>
      <c r="AI522">
        <f>((EX522*2))</f>
        <v>0</v>
      </c>
      <c r="AJ522">
        <f t="shared" si="262"/>
        <v>0</v>
      </c>
      <c r="AK522">
        <v>217.43</v>
      </c>
      <c r="AL522">
        <v>4.53</v>
      </c>
      <c r="AM522">
        <v>0</v>
      </c>
      <c r="AN522">
        <v>0</v>
      </c>
      <c r="AO522">
        <v>212.9</v>
      </c>
      <c r="AP522">
        <v>0</v>
      </c>
      <c r="AQ522">
        <v>0.3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249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263"/>
        <v>1739.44</v>
      </c>
      <c r="CQ522">
        <f t="shared" si="264"/>
        <v>9.06</v>
      </c>
      <c r="CR522">
        <f>(((((ET522*2))*BB522-((EU522*2))*BS522)+AE522*BS522)*AV522)</f>
        <v>0</v>
      </c>
      <c r="CS522">
        <f t="shared" si="265"/>
        <v>0</v>
      </c>
      <c r="CT522">
        <f t="shared" si="266"/>
        <v>425.8</v>
      </c>
      <c r="CU522">
        <f t="shared" si="267"/>
        <v>0</v>
      </c>
      <c r="CV522">
        <f t="shared" si="268"/>
        <v>0.6</v>
      </c>
      <c r="CW522">
        <f t="shared" si="269"/>
        <v>0</v>
      </c>
      <c r="CX522">
        <f t="shared" si="270"/>
        <v>0</v>
      </c>
      <c r="CY522">
        <f t="shared" si="271"/>
        <v>1192.24</v>
      </c>
      <c r="CZ522">
        <f t="shared" si="272"/>
        <v>170.32</v>
      </c>
      <c r="DC522" t="s">
        <v>3</v>
      </c>
      <c r="DD522" t="s">
        <v>181</v>
      </c>
      <c r="DE522" t="s">
        <v>181</v>
      </c>
      <c r="DF522" t="s">
        <v>181</v>
      </c>
      <c r="DG522" t="s">
        <v>181</v>
      </c>
      <c r="DH522" t="s">
        <v>3</v>
      </c>
      <c r="DI522" t="s">
        <v>181</v>
      </c>
      <c r="DJ522" t="s">
        <v>181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18</v>
      </c>
      <c r="DW522" t="s">
        <v>18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0</v>
      </c>
      <c r="ER522">
        <v>217.43</v>
      </c>
      <c r="ES522">
        <v>4.53</v>
      </c>
      <c r="ET522">
        <v>0</v>
      </c>
      <c r="EU522">
        <v>0</v>
      </c>
      <c r="EV522">
        <v>212.9</v>
      </c>
      <c r="EW522">
        <v>0.3</v>
      </c>
      <c r="EX522">
        <v>0</v>
      </c>
      <c r="EY522">
        <v>0</v>
      </c>
      <c r="FQ522">
        <v>0</v>
      </c>
      <c r="FR522">
        <f t="shared" si="273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1338640914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274"/>
        <v>0</v>
      </c>
      <c r="GM522">
        <f t="shared" si="275"/>
        <v>3102</v>
      </c>
      <c r="GN522">
        <f t="shared" si="276"/>
        <v>0</v>
      </c>
      <c r="GO522">
        <f t="shared" si="277"/>
        <v>0</v>
      </c>
      <c r="GP522">
        <f t="shared" si="278"/>
        <v>3102</v>
      </c>
      <c r="GR522">
        <v>0</v>
      </c>
      <c r="GS522">
        <v>3</v>
      </c>
      <c r="GT522">
        <v>0</v>
      </c>
      <c r="GU522" t="s">
        <v>3</v>
      </c>
      <c r="GV522">
        <f t="shared" si="279"/>
        <v>0</v>
      </c>
      <c r="GW522">
        <v>1</v>
      </c>
      <c r="GX522">
        <f t="shared" si="280"/>
        <v>0</v>
      </c>
      <c r="HA522">
        <v>0</v>
      </c>
      <c r="HB522">
        <v>0</v>
      </c>
      <c r="HC522">
        <f t="shared" si="281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C523">
        <f>ROW(SmtRes!A87)</f>
        <v>87</v>
      </c>
      <c r="D523">
        <f>ROW(EtalonRes!A172)</f>
        <v>172</v>
      </c>
      <c r="E523" t="s">
        <v>3</v>
      </c>
      <c r="F523" t="s">
        <v>252</v>
      </c>
      <c r="G523" t="s">
        <v>253</v>
      </c>
      <c r="H523" t="s">
        <v>32</v>
      </c>
      <c r="I523">
        <f>ROUND(1/10,9)</f>
        <v>0.1</v>
      </c>
      <c r="J523">
        <v>0</v>
      </c>
      <c r="K523">
        <f>ROUND(1/10,9)</f>
        <v>0.1</v>
      </c>
      <c r="O523">
        <f t="shared" si="249"/>
        <v>85.15</v>
      </c>
      <c r="P523">
        <f t="shared" si="250"/>
        <v>0</v>
      </c>
      <c r="Q523">
        <f t="shared" si="251"/>
        <v>0</v>
      </c>
      <c r="R523">
        <f t="shared" si="252"/>
        <v>0</v>
      </c>
      <c r="S523">
        <f t="shared" si="253"/>
        <v>85.15</v>
      </c>
      <c r="T523">
        <f t="shared" si="254"/>
        <v>0</v>
      </c>
      <c r="U523">
        <f t="shared" si="255"/>
        <v>0.16800000000000004</v>
      </c>
      <c r="V523">
        <f t="shared" si="256"/>
        <v>0</v>
      </c>
      <c r="W523">
        <f t="shared" si="257"/>
        <v>0</v>
      </c>
      <c r="X523">
        <f t="shared" si="258"/>
        <v>59.61</v>
      </c>
      <c r="Y523">
        <f t="shared" si="259"/>
        <v>8.52</v>
      </c>
      <c r="AA523">
        <v>-1</v>
      </c>
      <c r="AB523">
        <f t="shared" si="260"/>
        <v>851.52</v>
      </c>
      <c r="AC523">
        <f>ROUND(((ES523*3)),6)</f>
        <v>0</v>
      </c>
      <c r="AD523">
        <f>ROUND(((((ET523*3))-((EU523*3)))+AE523),6)</f>
        <v>0</v>
      </c>
      <c r="AE523">
        <f>ROUND(((EU523*3)),6)</f>
        <v>0</v>
      </c>
      <c r="AF523">
        <f>ROUND(((EV523*3)),6)</f>
        <v>851.52</v>
      </c>
      <c r="AG523">
        <f t="shared" si="261"/>
        <v>0</v>
      </c>
      <c r="AH523">
        <f>((EW523*3))</f>
        <v>1.6800000000000002</v>
      </c>
      <c r="AI523">
        <f>((EX523*3))</f>
        <v>0</v>
      </c>
      <c r="AJ523">
        <f t="shared" si="262"/>
        <v>0</v>
      </c>
      <c r="AK523">
        <v>283.83999999999997</v>
      </c>
      <c r="AL523">
        <v>0</v>
      </c>
      <c r="AM523">
        <v>0</v>
      </c>
      <c r="AN523">
        <v>0</v>
      </c>
      <c r="AO523">
        <v>283.83999999999997</v>
      </c>
      <c r="AP523">
        <v>0</v>
      </c>
      <c r="AQ523">
        <v>0.56000000000000005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254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263"/>
        <v>85.15</v>
      </c>
      <c r="CQ523">
        <f t="shared" si="264"/>
        <v>0</v>
      </c>
      <c r="CR523">
        <f>(((((ET523*3))*BB523-((EU523*3))*BS523)+AE523*BS523)*AV523)</f>
        <v>0</v>
      </c>
      <c r="CS523">
        <f t="shared" si="265"/>
        <v>0</v>
      </c>
      <c r="CT523">
        <f t="shared" si="266"/>
        <v>851.52</v>
      </c>
      <c r="CU523">
        <f t="shared" si="267"/>
        <v>0</v>
      </c>
      <c r="CV523">
        <f t="shared" si="268"/>
        <v>1.6800000000000002</v>
      </c>
      <c r="CW523">
        <f t="shared" si="269"/>
        <v>0</v>
      </c>
      <c r="CX523">
        <f t="shared" si="270"/>
        <v>0</v>
      </c>
      <c r="CY523">
        <f t="shared" si="271"/>
        <v>59.604999999999997</v>
      </c>
      <c r="CZ523">
        <f t="shared" si="272"/>
        <v>8.5150000000000006</v>
      </c>
      <c r="DC523" t="s">
        <v>3</v>
      </c>
      <c r="DD523" t="s">
        <v>163</v>
      </c>
      <c r="DE523" t="s">
        <v>163</v>
      </c>
      <c r="DF523" t="s">
        <v>163</v>
      </c>
      <c r="DG523" t="s">
        <v>163</v>
      </c>
      <c r="DH523" t="s">
        <v>3</v>
      </c>
      <c r="DI523" t="s">
        <v>163</v>
      </c>
      <c r="DJ523" t="s">
        <v>163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32</v>
      </c>
      <c r="DW523" t="s">
        <v>32</v>
      </c>
      <c r="DX523">
        <v>10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1024</v>
      </c>
      <c r="ER523">
        <v>283.83999999999997</v>
      </c>
      <c r="ES523">
        <v>0</v>
      </c>
      <c r="ET523">
        <v>0</v>
      </c>
      <c r="EU523">
        <v>0</v>
      </c>
      <c r="EV523">
        <v>283.83999999999997</v>
      </c>
      <c r="EW523">
        <v>0.56000000000000005</v>
      </c>
      <c r="EX523">
        <v>0</v>
      </c>
      <c r="EY523">
        <v>0</v>
      </c>
      <c r="FQ523">
        <v>0</v>
      </c>
      <c r="FR523">
        <f t="shared" si="273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1038359689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274"/>
        <v>0</v>
      </c>
      <c r="GM523">
        <f t="shared" si="275"/>
        <v>153.28</v>
      </c>
      <c r="GN523">
        <f t="shared" si="276"/>
        <v>0</v>
      </c>
      <c r="GO523">
        <f t="shared" si="277"/>
        <v>0</v>
      </c>
      <c r="GP523">
        <f t="shared" si="278"/>
        <v>153.28</v>
      </c>
      <c r="GR523">
        <v>0</v>
      </c>
      <c r="GS523">
        <v>3</v>
      </c>
      <c r="GT523">
        <v>0</v>
      </c>
      <c r="GU523" t="s">
        <v>3</v>
      </c>
      <c r="GV523">
        <f t="shared" si="279"/>
        <v>0</v>
      </c>
      <c r="GW523">
        <v>1</v>
      </c>
      <c r="GX523">
        <f t="shared" si="280"/>
        <v>0</v>
      </c>
      <c r="HA523">
        <v>0</v>
      </c>
      <c r="HB523">
        <v>0</v>
      </c>
      <c r="HC523">
        <f t="shared" si="281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C524">
        <f>ROW(SmtRes!A88)</f>
        <v>88</v>
      </c>
      <c r="D524">
        <f>ROW(EtalonRes!A173)</f>
        <v>173</v>
      </c>
      <c r="E524" t="s">
        <v>265</v>
      </c>
      <c r="F524" t="s">
        <v>256</v>
      </c>
      <c r="G524" t="s">
        <v>257</v>
      </c>
      <c r="H524" t="s">
        <v>18</v>
      </c>
      <c r="I524">
        <v>1</v>
      </c>
      <c r="J524">
        <v>0</v>
      </c>
      <c r="K524">
        <v>1</v>
      </c>
      <c r="O524">
        <f t="shared" si="249"/>
        <v>89.95</v>
      </c>
      <c r="P524">
        <f t="shared" si="250"/>
        <v>0</v>
      </c>
      <c r="Q524">
        <f t="shared" si="251"/>
        <v>0</v>
      </c>
      <c r="R524">
        <f t="shared" si="252"/>
        <v>0</v>
      </c>
      <c r="S524">
        <f t="shared" si="253"/>
        <v>89.95</v>
      </c>
      <c r="T524">
        <f t="shared" si="254"/>
        <v>0</v>
      </c>
      <c r="U524">
        <f t="shared" si="255"/>
        <v>0.16</v>
      </c>
      <c r="V524">
        <f t="shared" si="256"/>
        <v>0</v>
      </c>
      <c r="W524">
        <f t="shared" si="257"/>
        <v>0</v>
      </c>
      <c r="X524">
        <f t="shared" si="258"/>
        <v>62.97</v>
      </c>
      <c r="Y524">
        <f t="shared" si="259"/>
        <v>9</v>
      </c>
      <c r="AA524">
        <v>1473080740</v>
      </c>
      <c r="AB524">
        <f t="shared" si="260"/>
        <v>89.95</v>
      </c>
      <c r="AC524">
        <f>ROUND((ES524),6)</f>
        <v>0</v>
      </c>
      <c r="AD524">
        <f>ROUND((((ET524)-(EU524))+AE524),6)</f>
        <v>0</v>
      </c>
      <c r="AE524">
        <f>ROUND((EU524),6)</f>
        <v>0</v>
      </c>
      <c r="AF524">
        <f>ROUND((EV524),6)</f>
        <v>89.95</v>
      </c>
      <c r="AG524">
        <f t="shared" si="261"/>
        <v>0</v>
      </c>
      <c r="AH524">
        <f>(EW524)</f>
        <v>0.16</v>
      </c>
      <c r="AI524">
        <f>(EX524)</f>
        <v>0</v>
      </c>
      <c r="AJ524">
        <f t="shared" si="262"/>
        <v>0</v>
      </c>
      <c r="AK524">
        <v>89.95</v>
      </c>
      <c r="AL524">
        <v>0</v>
      </c>
      <c r="AM524">
        <v>0</v>
      </c>
      <c r="AN524">
        <v>0</v>
      </c>
      <c r="AO524">
        <v>89.95</v>
      </c>
      <c r="AP524">
        <v>0</v>
      </c>
      <c r="AQ524">
        <v>0.16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258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263"/>
        <v>89.95</v>
      </c>
      <c r="CQ524">
        <f t="shared" si="264"/>
        <v>0</v>
      </c>
      <c r="CR524">
        <f>((((ET524)*BB524-(EU524)*BS524)+AE524*BS524)*AV524)</f>
        <v>0</v>
      </c>
      <c r="CS524">
        <f t="shared" si="265"/>
        <v>0</v>
      </c>
      <c r="CT524">
        <f t="shared" si="266"/>
        <v>89.95</v>
      </c>
      <c r="CU524">
        <f t="shared" si="267"/>
        <v>0</v>
      </c>
      <c r="CV524">
        <f t="shared" si="268"/>
        <v>0.16</v>
      </c>
      <c r="CW524">
        <f t="shared" si="269"/>
        <v>0</v>
      </c>
      <c r="CX524">
        <f t="shared" si="270"/>
        <v>0</v>
      </c>
      <c r="CY524">
        <f t="shared" si="271"/>
        <v>62.965000000000003</v>
      </c>
      <c r="CZ524">
        <f t="shared" si="272"/>
        <v>8.9949999999999992</v>
      </c>
      <c r="DC524" t="s">
        <v>3</v>
      </c>
      <c r="DD524" t="s">
        <v>3</v>
      </c>
      <c r="DE524" t="s">
        <v>3</v>
      </c>
      <c r="DF524" t="s">
        <v>3</v>
      </c>
      <c r="DG524" t="s">
        <v>3</v>
      </c>
      <c r="DH524" t="s">
        <v>3</v>
      </c>
      <c r="DI524" t="s">
        <v>3</v>
      </c>
      <c r="DJ524" t="s">
        <v>3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16987630</v>
      </c>
      <c r="DV524" t="s">
        <v>18</v>
      </c>
      <c r="DW524" t="s">
        <v>18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0</v>
      </c>
      <c r="ER524">
        <v>89.95</v>
      </c>
      <c r="ES524">
        <v>0</v>
      </c>
      <c r="ET524">
        <v>0</v>
      </c>
      <c r="EU524">
        <v>0</v>
      </c>
      <c r="EV524">
        <v>89.95</v>
      </c>
      <c r="EW524">
        <v>0.16</v>
      </c>
      <c r="EX524">
        <v>0</v>
      </c>
      <c r="EY524">
        <v>0</v>
      </c>
      <c r="FQ524">
        <v>0</v>
      </c>
      <c r="FR524">
        <f t="shared" si="273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-864364953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274"/>
        <v>0</v>
      </c>
      <c r="GM524">
        <f t="shared" si="275"/>
        <v>161.91999999999999</v>
      </c>
      <c r="GN524">
        <f t="shared" si="276"/>
        <v>0</v>
      </c>
      <c r="GO524">
        <f t="shared" si="277"/>
        <v>0</v>
      </c>
      <c r="GP524">
        <f t="shared" si="278"/>
        <v>161.91999999999999</v>
      </c>
      <c r="GR524">
        <v>0</v>
      </c>
      <c r="GS524">
        <v>3</v>
      </c>
      <c r="GT524">
        <v>0</v>
      </c>
      <c r="GU524" t="s">
        <v>3</v>
      </c>
      <c r="GV524">
        <f t="shared" si="279"/>
        <v>0</v>
      </c>
      <c r="GW524">
        <v>1</v>
      </c>
      <c r="GX524">
        <f t="shared" si="280"/>
        <v>0</v>
      </c>
      <c r="HA524">
        <v>0</v>
      </c>
      <c r="HB524">
        <v>0</v>
      </c>
      <c r="HC524">
        <f t="shared" si="281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C525">
        <f>ROW(SmtRes!A91)</f>
        <v>91</v>
      </c>
      <c r="D525">
        <f>ROW(EtalonRes!A176)</f>
        <v>176</v>
      </c>
      <c r="E525" t="s">
        <v>266</v>
      </c>
      <c r="F525" t="s">
        <v>247</v>
      </c>
      <c r="G525" t="s">
        <v>248</v>
      </c>
      <c r="H525" t="s">
        <v>18</v>
      </c>
      <c r="I525">
        <v>2</v>
      </c>
      <c r="J525">
        <v>0</v>
      </c>
      <c r="K525">
        <v>2</v>
      </c>
      <c r="O525">
        <f t="shared" si="249"/>
        <v>869.72</v>
      </c>
      <c r="P525">
        <f t="shared" si="250"/>
        <v>18.12</v>
      </c>
      <c r="Q525">
        <f t="shared" si="251"/>
        <v>0</v>
      </c>
      <c r="R525">
        <f t="shared" si="252"/>
        <v>0</v>
      </c>
      <c r="S525">
        <f t="shared" si="253"/>
        <v>851.6</v>
      </c>
      <c r="T525">
        <f t="shared" si="254"/>
        <v>0</v>
      </c>
      <c r="U525">
        <f t="shared" si="255"/>
        <v>1.2</v>
      </c>
      <c r="V525">
        <f t="shared" si="256"/>
        <v>0</v>
      </c>
      <c r="W525">
        <f t="shared" si="257"/>
        <v>0</v>
      </c>
      <c r="X525">
        <f t="shared" si="258"/>
        <v>596.12</v>
      </c>
      <c r="Y525">
        <f t="shared" si="259"/>
        <v>85.16</v>
      </c>
      <c r="AA525">
        <v>1473080740</v>
      </c>
      <c r="AB525">
        <f t="shared" si="260"/>
        <v>434.86</v>
      </c>
      <c r="AC525">
        <f>ROUND(((ES525*2)),6)</f>
        <v>9.06</v>
      </c>
      <c r="AD525">
        <f>ROUND(((((ET525*2))-((EU525*2)))+AE525),6)</f>
        <v>0</v>
      </c>
      <c r="AE525">
        <f>ROUND(((EU525*2)),6)</f>
        <v>0</v>
      </c>
      <c r="AF525">
        <f>ROUND(((EV525*2)),6)</f>
        <v>425.8</v>
      </c>
      <c r="AG525">
        <f t="shared" si="261"/>
        <v>0</v>
      </c>
      <c r="AH525">
        <f>((EW525*2))</f>
        <v>0.6</v>
      </c>
      <c r="AI525">
        <f>((EX525*2))</f>
        <v>0</v>
      </c>
      <c r="AJ525">
        <f t="shared" si="262"/>
        <v>0</v>
      </c>
      <c r="AK525">
        <v>217.43</v>
      </c>
      <c r="AL525">
        <v>4.53</v>
      </c>
      <c r="AM525">
        <v>0</v>
      </c>
      <c r="AN525">
        <v>0</v>
      </c>
      <c r="AO525">
        <v>212.9</v>
      </c>
      <c r="AP525">
        <v>0</v>
      </c>
      <c r="AQ525">
        <v>0.3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249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263"/>
        <v>869.72</v>
      </c>
      <c r="CQ525">
        <f t="shared" si="264"/>
        <v>9.06</v>
      </c>
      <c r="CR525">
        <f>(((((ET525*2))*BB525-((EU525*2))*BS525)+AE525*BS525)*AV525)</f>
        <v>0</v>
      </c>
      <c r="CS525">
        <f t="shared" si="265"/>
        <v>0</v>
      </c>
      <c r="CT525">
        <f t="shared" si="266"/>
        <v>425.8</v>
      </c>
      <c r="CU525">
        <f t="shared" si="267"/>
        <v>0</v>
      </c>
      <c r="CV525">
        <f t="shared" si="268"/>
        <v>0.6</v>
      </c>
      <c r="CW525">
        <f t="shared" si="269"/>
        <v>0</v>
      </c>
      <c r="CX525">
        <f t="shared" si="270"/>
        <v>0</v>
      </c>
      <c r="CY525">
        <f t="shared" si="271"/>
        <v>596.12</v>
      </c>
      <c r="CZ525">
        <f t="shared" si="272"/>
        <v>85.16</v>
      </c>
      <c r="DC525" t="s">
        <v>3</v>
      </c>
      <c r="DD525" t="s">
        <v>181</v>
      </c>
      <c r="DE525" t="s">
        <v>181</v>
      </c>
      <c r="DF525" t="s">
        <v>181</v>
      </c>
      <c r="DG525" t="s">
        <v>181</v>
      </c>
      <c r="DH525" t="s">
        <v>3</v>
      </c>
      <c r="DI525" t="s">
        <v>181</v>
      </c>
      <c r="DJ525" t="s">
        <v>181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18</v>
      </c>
      <c r="DW525" t="s">
        <v>18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0</v>
      </c>
      <c r="ER525">
        <v>217.43</v>
      </c>
      <c r="ES525">
        <v>4.53</v>
      </c>
      <c r="ET525">
        <v>0</v>
      </c>
      <c r="EU525">
        <v>0</v>
      </c>
      <c r="EV525">
        <v>212.9</v>
      </c>
      <c r="EW525">
        <v>0.3</v>
      </c>
      <c r="EX525">
        <v>0</v>
      </c>
      <c r="EY525">
        <v>0</v>
      </c>
      <c r="FQ525">
        <v>0</v>
      </c>
      <c r="FR525">
        <f t="shared" si="273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1338640914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274"/>
        <v>0</v>
      </c>
      <c r="GM525">
        <f t="shared" si="275"/>
        <v>1551</v>
      </c>
      <c r="GN525">
        <f t="shared" si="276"/>
        <v>0</v>
      </c>
      <c r="GO525">
        <f t="shared" si="277"/>
        <v>0</v>
      </c>
      <c r="GP525">
        <f t="shared" si="278"/>
        <v>1551</v>
      </c>
      <c r="GR525">
        <v>0</v>
      </c>
      <c r="GS525">
        <v>3</v>
      </c>
      <c r="GT525">
        <v>0</v>
      </c>
      <c r="GU525" t="s">
        <v>3</v>
      </c>
      <c r="GV525">
        <f t="shared" si="279"/>
        <v>0</v>
      </c>
      <c r="GW525">
        <v>1</v>
      </c>
      <c r="GX525">
        <f t="shared" si="280"/>
        <v>0</v>
      </c>
      <c r="HA525">
        <v>0</v>
      </c>
      <c r="HB525">
        <v>0</v>
      </c>
      <c r="HC525">
        <f t="shared" si="281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C526">
        <f>ROW(SmtRes!A95)</f>
        <v>95</v>
      </c>
      <c r="D526">
        <f>ROW(EtalonRes!A180)</f>
        <v>180</v>
      </c>
      <c r="E526" t="s">
        <v>3</v>
      </c>
      <c r="F526" t="s">
        <v>243</v>
      </c>
      <c r="G526" t="s">
        <v>250</v>
      </c>
      <c r="H526" t="s">
        <v>18</v>
      </c>
      <c r="I526">
        <v>1</v>
      </c>
      <c r="J526">
        <v>0</v>
      </c>
      <c r="K526">
        <v>1</v>
      </c>
      <c r="O526">
        <f t="shared" si="249"/>
        <v>558.16</v>
      </c>
      <c r="P526">
        <f t="shared" si="250"/>
        <v>23.48</v>
      </c>
      <c r="Q526">
        <f t="shared" si="251"/>
        <v>52.12</v>
      </c>
      <c r="R526">
        <f t="shared" si="252"/>
        <v>33.04</v>
      </c>
      <c r="S526">
        <f t="shared" si="253"/>
        <v>482.56</v>
      </c>
      <c r="T526">
        <f t="shared" si="254"/>
        <v>0</v>
      </c>
      <c r="U526">
        <f t="shared" si="255"/>
        <v>0.68</v>
      </c>
      <c r="V526">
        <f t="shared" si="256"/>
        <v>0</v>
      </c>
      <c r="W526">
        <f t="shared" si="257"/>
        <v>0</v>
      </c>
      <c r="X526">
        <f t="shared" si="258"/>
        <v>337.79</v>
      </c>
      <c r="Y526">
        <f t="shared" si="259"/>
        <v>48.26</v>
      </c>
      <c r="AA526">
        <v>-1</v>
      </c>
      <c r="AB526">
        <f t="shared" si="260"/>
        <v>558.16</v>
      </c>
      <c r="AC526">
        <f>ROUND(((ES526*4)),6)</f>
        <v>23.48</v>
      </c>
      <c r="AD526">
        <f>ROUND(((((ET526*4))-((EU526*4)))+AE526),6)</f>
        <v>52.12</v>
      </c>
      <c r="AE526">
        <f>ROUND(((EU526*4)),6)</f>
        <v>33.04</v>
      </c>
      <c r="AF526">
        <f>ROUND(((EV526*4)),6)</f>
        <v>482.56</v>
      </c>
      <c r="AG526">
        <f t="shared" si="261"/>
        <v>0</v>
      </c>
      <c r="AH526">
        <f>((EW526*4))</f>
        <v>0.68</v>
      </c>
      <c r="AI526">
        <f>((EX526*4))</f>
        <v>0</v>
      </c>
      <c r="AJ526">
        <f t="shared" si="262"/>
        <v>0</v>
      </c>
      <c r="AK526">
        <v>139.54</v>
      </c>
      <c r="AL526">
        <v>5.87</v>
      </c>
      <c r="AM526">
        <v>13.03</v>
      </c>
      <c r="AN526">
        <v>8.26</v>
      </c>
      <c r="AO526">
        <v>120.64</v>
      </c>
      <c r="AP526">
        <v>0</v>
      </c>
      <c r="AQ526">
        <v>0.17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245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263"/>
        <v>558.16</v>
      </c>
      <c r="CQ526">
        <f t="shared" si="264"/>
        <v>23.48</v>
      </c>
      <c r="CR526">
        <f>(((((ET526*4))*BB526-((EU526*4))*BS526)+AE526*BS526)*AV526)</f>
        <v>52.12</v>
      </c>
      <c r="CS526">
        <f t="shared" si="265"/>
        <v>33.04</v>
      </c>
      <c r="CT526">
        <f t="shared" si="266"/>
        <v>482.56</v>
      </c>
      <c r="CU526">
        <f t="shared" si="267"/>
        <v>0</v>
      </c>
      <c r="CV526">
        <f t="shared" si="268"/>
        <v>0.68</v>
      </c>
      <c r="CW526">
        <f t="shared" si="269"/>
        <v>0</v>
      </c>
      <c r="CX526">
        <f t="shared" si="270"/>
        <v>0</v>
      </c>
      <c r="CY526">
        <f t="shared" si="271"/>
        <v>337.79199999999997</v>
      </c>
      <c r="CZ526">
        <f t="shared" si="272"/>
        <v>48.256</v>
      </c>
      <c r="DC526" t="s">
        <v>3</v>
      </c>
      <c r="DD526" t="s">
        <v>28</v>
      </c>
      <c r="DE526" t="s">
        <v>28</v>
      </c>
      <c r="DF526" t="s">
        <v>28</v>
      </c>
      <c r="DG526" t="s">
        <v>28</v>
      </c>
      <c r="DH526" t="s">
        <v>3</v>
      </c>
      <c r="DI526" t="s">
        <v>28</v>
      </c>
      <c r="DJ526" t="s">
        <v>28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18</v>
      </c>
      <c r="DW526" t="s">
        <v>18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21</v>
      </c>
      <c r="EH526">
        <v>0</v>
      </c>
      <c r="EI526" t="s">
        <v>3</v>
      </c>
      <c r="EJ526">
        <v>4</v>
      </c>
      <c r="EK526">
        <v>0</v>
      </c>
      <c r="EL526" t="s">
        <v>22</v>
      </c>
      <c r="EM526" t="s">
        <v>23</v>
      </c>
      <c r="EO526" t="s">
        <v>3</v>
      </c>
      <c r="EQ526">
        <v>1024</v>
      </c>
      <c r="ER526">
        <v>139.54</v>
      </c>
      <c r="ES526">
        <v>5.87</v>
      </c>
      <c r="ET526">
        <v>13.03</v>
      </c>
      <c r="EU526">
        <v>8.26</v>
      </c>
      <c r="EV526">
        <v>120.64</v>
      </c>
      <c r="EW526">
        <v>0.17</v>
      </c>
      <c r="EX526">
        <v>0</v>
      </c>
      <c r="EY526">
        <v>0</v>
      </c>
      <c r="FQ526">
        <v>0</v>
      </c>
      <c r="FR526">
        <f t="shared" si="273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-1745435892</v>
      </c>
      <c r="GG526">
        <v>2</v>
      </c>
      <c r="GH526">
        <v>1</v>
      </c>
      <c r="GI526">
        <v>-2</v>
      </c>
      <c r="GJ526">
        <v>0</v>
      </c>
      <c r="GK526">
        <f>ROUND(R526*(R12)/100,2)</f>
        <v>35.68</v>
      </c>
      <c r="GL526">
        <f t="shared" si="274"/>
        <v>0</v>
      </c>
      <c r="GM526">
        <f t="shared" si="275"/>
        <v>979.89</v>
      </c>
      <c r="GN526">
        <f t="shared" si="276"/>
        <v>0</v>
      </c>
      <c r="GO526">
        <f t="shared" si="277"/>
        <v>0</v>
      </c>
      <c r="GP526">
        <f t="shared" si="278"/>
        <v>979.89</v>
      </c>
      <c r="GR526">
        <v>0</v>
      </c>
      <c r="GS526">
        <v>3</v>
      </c>
      <c r="GT526">
        <v>0</v>
      </c>
      <c r="GU526" t="s">
        <v>3</v>
      </c>
      <c r="GV526">
        <f t="shared" si="279"/>
        <v>0</v>
      </c>
      <c r="GW526">
        <v>1</v>
      </c>
      <c r="GX526">
        <f t="shared" si="280"/>
        <v>0</v>
      </c>
      <c r="HA526">
        <v>0</v>
      </c>
      <c r="HB526">
        <v>0</v>
      </c>
      <c r="HC526">
        <f t="shared" si="281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C527">
        <f>ROW(SmtRes!A98)</f>
        <v>98</v>
      </c>
      <c r="D527">
        <f>ROW(EtalonRes!A183)</f>
        <v>183</v>
      </c>
      <c r="E527" t="s">
        <v>267</v>
      </c>
      <c r="F527" t="s">
        <v>247</v>
      </c>
      <c r="G527" t="s">
        <v>248</v>
      </c>
      <c r="H527" t="s">
        <v>18</v>
      </c>
      <c r="I527">
        <f>ROUND(1+4,9)</f>
        <v>5</v>
      </c>
      <c r="J527">
        <v>0</v>
      </c>
      <c r="K527">
        <f>ROUND(1+4,9)</f>
        <v>5</v>
      </c>
      <c r="O527">
        <f t="shared" si="249"/>
        <v>2174.3000000000002</v>
      </c>
      <c r="P527">
        <f t="shared" si="250"/>
        <v>45.3</v>
      </c>
      <c r="Q527">
        <f t="shared" si="251"/>
        <v>0</v>
      </c>
      <c r="R527">
        <f t="shared" si="252"/>
        <v>0</v>
      </c>
      <c r="S527">
        <f t="shared" si="253"/>
        <v>2129</v>
      </c>
      <c r="T527">
        <f t="shared" si="254"/>
        <v>0</v>
      </c>
      <c r="U527">
        <f t="shared" si="255"/>
        <v>3</v>
      </c>
      <c r="V527">
        <f t="shared" si="256"/>
        <v>0</v>
      </c>
      <c r="W527">
        <f t="shared" si="257"/>
        <v>0</v>
      </c>
      <c r="X527">
        <f t="shared" si="258"/>
        <v>1490.3</v>
      </c>
      <c r="Y527">
        <f t="shared" si="259"/>
        <v>212.9</v>
      </c>
      <c r="AA527">
        <v>1473080740</v>
      </c>
      <c r="AB527">
        <f t="shared" si="260"/>
        <v>434.86</v>
      </c>
      <c r="AC527">
        <f>ROUND(((ES527*2)),6)</f>
        <v>9.06</v>
      </c>
      <c r="AD527">
        <f>ROUND(((((ET527*2))-((EU527*2)))+AE527),6)</f>
        <v>0</v>
      </c>
      <c r="AE527">
        <f>ROUND(((EU527*2)),6)</f>
        <v>0</v>
      </c>
      <c r="AF527">
        <f>ROUND(((EV527*2)),6)</f>
        <v>425.8</v>
      </c>
      <c r="AG527">
        <f t="shared" si="261"/>
        <v>0</v>
      </c>
      <c r="AH527">
        <f>((EW527*2))</f>
        <v>0.6</v>
      </c>
      <c r="AI527">
        <f>((EX527*2))</f>
        <v>0</v>
      </c>
      <c r="AJ527">
        <f t="shared" si="262"/>
        <v>0</v>
      </c>
      <c r="AK527">
        <v>217.43</v>
      </c>
      <c r="AL527">
        <v>4.53</v>
      </c>
      <c r="AM527">
        <v>0</v>
      </c>
      <c r="AN527">
        <v>0</v>
      </c>
      <c r="AO527">
        <v>212.9</v>
      </c>
      <c r="AP527">
        <v>0</v>
      </c>
      <c r="AQ527">
        <v>0.3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249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263"/>
        <v>2174.3000000000002</v>
      </c>
      <c r="CQ527">
        <f t="shared" si="264"/>
        <v>9.06</v>
      </c>
      <c r="CR527">
        <f>(((((ET527*2))*BB527-((EU527*2))*BS527)+AE527*BS527)*AV527)</f>
        <v>0</v>
      </c>
      <c r="CS527">
        <f t="shared" si="265"/>
        <v>0</v>
      </c>
      <c r="CT527">
        <f t="shared" si="266"/>
        <v>425.8</v>
      </c>
      <c r="CU527">
        <f t="shared" si="267"/>
        <v>0</v>
      </c>
      <c r="CV527">
        <f t="shared" si="268"/>
        <v>0.6</v>
      </c>
      <c r="CW527">
        <f t="shared" si="269"/>
        <v>0</v>
      </c>
      <c r="CX527">
        <f t="shared" si="270"/>
        <v>0</v>
      </c>
      <c r="CY527">
        <f t="shared" si="271"/>
        <v>1490.3</v>
      </c>
      <c r="CZ527">
        <f t="shared" si="272"/>
        <v>212.9</v>
      </c>
      <c r="DC527" t="s">
        <v>3</v>
      </c>
      <c r="DD527" t="s">
        <v>181</v>
      </c>
      <c r="DE527" t="s">
        <v>181</v>
      </c>
      <c r="DF527" t="s">
        <v>181</v>
      </c>
      <c r="DG527" t="s">
        <v>181</v>
      </c>
      <c r="DH527" t="s">
        <v>3</v>
      </c>
      <c r="DI527" t="s">
        <v>181</v>
      </c>
      <c r="DJ527" t="s">
        <v>181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18</v>
      </c>
      <c r="DW527" t="s">
        <v>18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21</v>
      </c>
      <c r="EH527">
        <v>0</v>
      </c>
      <c r="EI527" t="s">
        <v>3</v>
      </c>
      <c r="EJ527">
        <v>4</v>
      </c>
      <c r="EK527">
        <v>0</v>
      </c>
      <c r="EL527" t="s">
        <v>22</v>
      </c>
      <c r="EM527" t="s">
        <v>23</v>
      </c>
      <c r="EO527" t="s">
        <v>3</v>
      </c>
      <c r="EQ527">
        <v>0</v>
      </c>
      <c r="ER527">
        <v>217.43</v>
      </c>
      <c r="ES527">
        <v>4.53</v>
      </c>
      <c r="ET527">
        <v>0</v>
      </c>
      <c r="EU527">
        <v>0</v>
      </c>
      <c r="EV527">
        <v>212.9</v>
      </c>
      <c r="EW527">
        <v>0.3</v>
      </c>
      <c r="EX527">
        <v>0</v>
      </c>
      <c r="EY527">
        <v>0</v>
      </c>
      <c r="FQ527">
        <v>0</v>
      </c>
      <c r="FR527">
        <f t="shared" si="273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1338640914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274"/>
        <v>0</v>
      </c>
      <c r="GM527">
        <f t="shared" si="275"/>
        <v>3877.5</v>
      </c>
      <c r="GN527">
        <f t="shared" si="276"/>
        <v>0</v>
      </c>
      <c r="GO527">
        <f t="shared" si="277"/>
        <v>0</v>
      </c>
      <c r="GP527">
        <f t="shared" si="278"/>
        <v>3877.5</v>
      </c>
      <c r="GR527">
        <v>0</v>
      </c>
      <c r="GS527">
        <v>3</v>
      </c>
      <c r="GT527">
        <v>0</v>
      </c>
      <c r="GU527" t="s">
        <v>3</v>
      </c>
      <c r="GV527">
        <f t="shared" si="279"/>
        <v>0</v>
      </c>
      <c r="GW527">
        <v>1</v>
      </c>
      <c r="GX527">
        <f t="shared" si="280"/>
        <v>0</v>
      </c>
      <c r="HA527">
        <v>0</v>
      </c>
      <c r="HB527">
        <v>0</v>
      </c>
      <c r="HC527">
        <f t="shared" si="281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C528">
        <f>ROW(SmtRes!A99)</f>
        <v>99</v>
      </c>
      <c r="D528">
        <f>ROW(EtalonRes!A184)</f>
        <v>184</v>
      </c>
      <c r="E528" t="s">
        <v>3</v>
      </c>
      <c r="F528" t="s">
        <v>252</v>
      </c>
      <c r="G528" t="s">
        <v>253</v>
      </c>
      <c r="H528" t="s">
        <v>32</v>
      </c>
      <c r="I528">
        <f>ROUND(2/10,9)</f>
        <v>0.2</v>
      </c>
      <c r="J528">
        <v>0</v>
      </c>
      <c r="K528">
        <f>ROUND(2/10,9)</f>
        <v>0.2</v>
      </c>
      <c r="O528">
        <f t="shared" si="249"/>
        <v>170.3</v>
      </c>
      <c r="P528">
        <f t="shared" si="250"/>
        <v>0</v>
      </c>
      <c r="Q528">
        <f t="shared" si="251"/>
        <v>0</v>
      </c>
      <c r="R528">
        <f t="shared" si="252"/>
        <v>0</v>
      </c>
      <c r="S528">
        <f t="shared" si="253"/>
        <v>170.3</v>
      </c>
      <c r="T528">
        <f t="shared" si="254"/>
        <v>0</v>
      </c>
      <c r="U528">
        <f t="shared" si="255"/>
        <v>0.33600000000000008</v>
      </c>
      <c r="V528">
        <f t="shared" si="256"/>
        <v>0</v>
      </c>
      <c r="W528">
        <f t="shared" si="257"/>
        <v>0</v>
      </c>
      <c r="X528">
        <f t="shared" si="258"/>
        <v>119.21</v>
      </c>
      <c r="Y528">
        <f t="shared" si="259"/>
        <v>17.03</v>
      </c>
      <c r="AA528">
        <v>-1</v>
      </c>
      <c r="AB528">
        <f t="shared" si="260"/>
        <v>851.52</v>
      </c>
      <c r="AC528">
        <f>ROUND(((ES528*3)),6)</f>
        <v>0</v>
      </c>
      <c r="AD528">
        <f>ROUND(((((ET528*3))-((EU528*3)))+AE528),6)</f>
        <v>0</v>
      </c>
      <c r="AE528">
        <f>ROUND(((EU528*3)),6)</f>
        <v>0</v>
      </c>
      <c r="AF528">
        <f>ROUND(((EV528*3)),6)</f>
        <v>851.52</v>
      </c>
      <c r="AG528">
        <f t="shared" si="261"/>
        <v>0</v>
      </c>
      <c r="AH528">
        <f>((EW528*3))</f>
        <v>1.6800000000000002</v>
      </c>
      <c r="AI528">
        <f>((EX528*3))</f>
        <v>0</v>
      </c>
      <c r="AJ528">
        <f t="shared" si="262"/>
        <v>0</v>
      </c>
      <c r="AK528">
        <v>283.83999999999997</v>
      </c>
      <c r="AL528">
        <v>0</v>
      </c>
      <c r="AM528">
        <v>0</v>
      </c>
      <c r="AN528">
        <v>0</v>
      </c>
      <c r="AO528">
        <v>283.83999999999997</v>
      </c>
      <c r="AP528">
        <v>0</v>
      </c>
      <c r="AQ528">
        <v>0.56000000000000005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254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263"/>
        <v>170.3</v>
      </c>
      <c r="CQ528">
        <f t="shared" si="264"/>
        <v>0</v>
      </c>
      <c r="CR528">
        <f>(((((ET528*3))*BB528-((EU528*3))*BS528)+AE528*BS528)*AV528)</f>
        <v>0</v>
      </c>
      <c r="CS528">
        <f t="shared" si="265"/>
        <v>0</v>
      </c>
      <c r="CT528">
        <f t="shared" si="266"/>
        <v>851.52</v>
      </c>
      <c r="CU528">
        <f t="shared" si="267"/>
        <v>0</v>
      </c>
      <c r="CV528">
        <f t="shared" si="268"/>
        <v>1.6800000000000002</v>
      </c>
      <c r="CW528">
        <f t="shared" si="269"/>
        <v>0</v>
      </c>
      <c r="CX528">
        <f t="shared" si="270"/>
        <v>0</v>
      </c>
      <c r="CY528">
        <f t="shared" si="271"/>
        <v>119.21</v>
      </c>
      <c r="CZ528">
        <f t="shared" si="272"/>
        <v>17.03</v>
      </c>
      <c r="DC528" t="s">
        <v>3</v>
      </c>
      <c r="DD528" t="s">
        <v>163</v>
      </c>
      <c r="DE528" t="s">
        <v>163</v>
      </c>
      <c r="DF528" t="s">
        <v>163</v>
      </c>
      <c r="DG528" t="s">
        <v>163</v>
      </c>
      <c r="DH528" t="s">
        <v>3</v>
      </c>
      <c r="DI528" t="s">
        <v>163</v>
      </c>
      <c r="DJ528" t="s">
        <v>163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32</v>
      </c>
      <c r="DW528" t="s">
        <v>32</v>
      </c>
      <c r="DX528">
        <v>10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21</v>
      </c>
      <c r="EH528">
        <v>0</v>
      </c>
      <c r="EI528" t="s">
        <v>3</v>
      </c>
      <c r="EJ528">
        <v>4</v>
      </c>
      <c r="EK528">
        <v>0</v>
      </c>
      <c r="EL528" t="s">
        <v>22</v>
      </c>
      <c r="EM528" t="s">
        <v>23</v>
      </c>
      <c r="EO528" t="s">
        <v>3</v>
      </c>
      <c r="EQ528">
        <v>1024</v>
      </c>
      <c r="ER528">
        <v>283.83999999999997</v>
      </c>
      <c r="ES528">
        <v>0</v>
      </c>
      <c r="ET528">
        <v>0</v>
      </c>
      <c r="EU528">
        <v>0</v>
      </c>
      <c r="EV528">
        <v>283.83999999999997</v>
      </c>
      <c r="EW528">
        <v>0.56000000000000005</v>
      </c>
      <c r="EX528">
        <v>0</v>
      </c>
      <c r="EY528">
        <v>0</v>
      </c>
      <c r="FQ528">
        <v>0</v>
      </c>
      <c r="FR528">
        <f t="shared" si="273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1038359689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274"/>
        <v>0</v>
      </c>
      <c r="GM528">
        <f t="shared" si="275"/>
        <v>306.54000000000002</v>
      </c>
      <c r="GN528">
        <f t="shared" si="276"/>
        <v>0</v>
      </c>
      <c r="GO528">
        <f t="shared" si="277"/>
        <v>0</v>
      </c>
      <c r="GP528">
        <f t="shared" si="278"/>
        <v>306.54000000000002</v>
      </c>
      <c r="GR528">
        <v>0</v>
      </c>
      <c r="GS528">
        <v>3</v>
      </c>
      <c r="GT528">
        <v>0</v>
      </c>
      <c r="GU528" t="s">
        <v>3</v>
      </c>
      <c r="GV528">
        <f t="shared" si="279"/>
        <v>0</v>
      </c>
      <c r="GW528">
        <v>1</v>
      </c>
      <c r="GX528">
        <f t="shared" si="280"/>
        <v>0</v>
      </c>
      <c r="HA528">
        <v>0</v>
      </c>
      <c r="HB528">
        <v>0</v>
      </c>
      <c r="HC528">
        <f t="shared" si="281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C529">
        <f>ROW(SmtRes!A100)</f>
        <v>100</v>
      </c>
      <c r="D529">
        <f>ROW(EtalonRes!A185)</f>
        <v>185</v>
      </c>
      <c r="E529" t="s">
        <v>268</v>
      </c>
      <c r="F529" t="s">
        <v>256</v>
      </c>
      <c r="G529" t="s">
        <v>257</v>
      </c>
      <c r="H529" t="s">
        <v>18</v>
      </c>
      <c r="I529">
        <v>2</v>
      </c>
      <c r="J529">
        <v>0</v>
      </c>
      <c r="K529">
        <v>2</v>
      </c>
      <c r="O529">
        <f t="shared" si="249"/>
        <v>179.9</v>
      </c>
      <c r="P529">
        <f t="shared" si="250"/>
        <v>0</v>
      </c>
      <c r="Q529">
        <f t="shared" si="251"/>
        <v>0</v>
      </c>
      <c r="R529">
        <f t="shared" si="252"/>
        <v>0</v>
      </c>
      <c r="S529">
        <f t="shared" si="253"/>
        <v>179.9</v>
      </c>
      <c r="T529">
        <f t="shared" si="254"/>
        <v>0</v>
      </c>
      <c r="U529">
        <f t="shared" si="255"/>
        <v>0.32</v>
      </c>
      <c r="V529">
        <f t="shared" si="256"/>
        <v>0</v>
      </c>
      <c r="W529">
        <f t="shared" si="257"/>
        <v>0</v>
      </c>
      <c r="X529">
        <f t="shared" si="258"/>
        <v>125.93</v>
      </c>
      <c r="Y529">
        <f t="shared" si="259"/>
        <v>17.989999999999998</v>
      </c>
      <c r="AA529">
        <v>1473080740</v>
      </c>
      <c r="AB529">
        <f t="shared" si="260"/>
        <v>89.95</v>
      </c>
      <c r="AC529">
        <f>ROUND((ES529),6)</f>
        <v>0</v>
      </c>
      <c r="AD529">
        <f>ROUND((((ET529)-(EU529))+AE529),6)</f>
        <v>0</v>
      </c>
      <c r="AE529">
        <f>ROUND((EU529),6)</f>
        <v>0</v>
      </c>
      <c r="AF529">
        <f>ROUND((EV529),6)</f>
        <v>89.95</v>
      </c>
      <c r="AG529">
        <f t="shared" si="261"/>
        <v>0</v>
      </c>
      <c r="AH529">
        <f>(EW529)</f>
        <v>0.16</v>
      </c>
      <c r="AI529">
        <f>(EX529)</f>
        <v>0</v>
      </c>
      <c r="AJ529">
        <f t="shared" si="262"/>
        <v>0</v>
      </c>
      <c r="AK529">
        <v>89.95</v>
      </c>
      <c r="AL529">
        <v>0</v>
      </c>
      <c r="AM529">
        <v>0</v>
      </c>
      <c r="AN529">
        <v>0</v>
      </c>
      <c r="AO529">
        <v>89.95</v>
      </c>
      <c r="AP529">
        <v>0</v>
      </c>
      <c r="AQ529">
        <v>0.16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258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263"/>
        <v>179.9</v>
      </c>
      <c r="CQ529">
        <f t="shared" si="264"/>
        <v>0</v>
      </c>
      <c r="CR529">
        <f>((((ET529)*BB529-(EU529)*BS529)+AE529*BS529)*AV529)</f>
        <v>0</v>
      </c>
      <c r="CS529">
        <f t="shared" si="265"/>
        <v>0</v>
      </c>
      <c r="CT529">
        <f t="shared" si="266"/>
        <v>89.95</v>
      </c>
      <c r="CU529">
        <f t="shared" si="267"/>
        <v>0</v>
      </c>
      <c r="CV529">
        <f t="shared" si="268"/>
        <v>0.16</v>
      </c>
      <c r="CW529">
        <f t="shared" si="269"/>
        <v>0</v>
      </c>
      <c r="CX529">
        <f t="shared" si="270"/>
        <v>0</v>
      </c>
      <c r="CY529">
        <f t="shared" si="271"/>
        <v>125.93</v>
      </c>
      <c r="CZ529">
        <f t="shared" si="272"/>
        <v>17.989999999999998</v>
      </c>
      <c r="DC529" t="s">
        <v>3</v>
      </c>
      <c r="DD529" t="s">
        <v>3</v>
      </c>
      <c r="DE529" t="s">
        <v>3</v>
      </c>
      <c r="DF529" t="s">
        <v>3</v>
      </c>
      <c r="DG529" t="s">
        <v>3</v>
      </c>
      <c r="DH529" t="s">
        <v>3</v>
      </c>
      <c r="DI529" t="s">
        <v>3</v>
      </c>
      <c r="DJ529" t="s">
        <v>3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18</v>
      </c>
      <c r="DW529" t="s">
        <v>18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21</v>
      </c>
      <c r="EH529">
        <v>0</v>
      </c>
      <c r="EI529" t="s">
        <v>3</v>
      </c>
      <c r="EJ529">
        <v>4</v>
      </c>
      <c r="EK529">
        <v>0</v>
      </c>
      <c r="EL529" t="s">
        <v>22</v>
      </c>
      <c r="EM529" t="s">
        <v>23</v>
      </c>
      <c r="EO529" t="s">
        <v>3</v>
      </c>
      <c r="EQ529">
        <v>0</v>
      </c>
      <c r="ER529">
        <v>89.95</v>
      </c>
      <c r="ES529">
        <v>0</v>
      </c>
      <c r="ET529">
        <v>0</v>
      </c>
      <c r="EU529">
        <v>0</v>
      </c>
      <c r="EV529">
        <v>89.95</v>
      </c>
      <c r="EW529">
        <v>0.16</v>
      </c>
      <c r="EX529">
        <v>0</v>
      </c>
      <c r="EY529">
        <v>0</v>
      </c>
      <c r="FQ529">
        <v>0</v>
      </c>
      <c r="FR529">
        <f t="shared" si="273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-864364953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274"/>
        <v>0</v>
      </c>
      <c r="GM529">
        <f t="shared" si="275"/>
        <v>323.82</v>
      </c>
      <c r="GN529">
        <f t="shared" si="276"/>
        <v>0</v>
      </c>
      <c r="GO529">
        <f t="shared" si="277"/>
        <v>0</v>
      </c>
      <c r="GP529">
        <f t="shared" si="278"/>
        <v>323.82</v>
      </c>
      <c r="GR529">
        <v>0</v>
      </c>
      <c r="GS529">
        <v>3</v>
      </c>
      <c r="GT529">
        <v>0</v>
      </c>
      <c r="GU529" t="s">
        <v>3</v>
      </c>
      <c r="GV529">
        <f t="shared" si="279"/>
        <v>0</v>
      </c>
      <c r="GW529">
        <v>1</v>
      </c>
      <c r="GX529">
        <f t="shared" si="280"/>
        <v>0</v>
      </c>
      <c r="HA529">
        <v>0</v>
      </c>
      <c r="HB529">
        <v>0</v>
      </c>
      <c r="HC529">
        <f t="shared" si="281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C530">
        <f>ROW(SmtRes!A103)</f>
        <v>103</v>
      </c>
      <c r="D530">
        <f>ROW(EtalonRes!A188)</f>
        <v>188</v>
      </c>
      <c r="E530" t="s">
        <v>269</v>
      </c>
      <c r="F530" t="s">
        <v>247</v>
      </c>
      <c r="G530" t="s">
        <v>248</v>
      </c>
      <c r="H530" t="s">
        <v>18</v>
      </c>
      <c r="I530">
        <v>4</v>
      </c>
      <c r="J530">
        <v>0</v>
      </c>
      <c r="K530">
        <v>4</v>
      </c>
      <c r="O530">
        <f t="shared" si="249"/>
        <v>1739.44</v>
      </c>
      <c r="P530">
        <f t="shared" si="250"/>
        <v>36.24</v>
      </c>
      <c r="Q530">
        <f t="shared" si="251"/>
        <v>0</v>
      </c>
      <c r="R530">
        <f t="shared" si="252"/>
        <v>0</v>
      </c>
      <c r="S530">
        <f t="shared" si="253"/>
        <v>1703.2</v>
      </c>
      <c r="T530">
        <f t="shared" si="254"/>
        <v>0</v>
      </c>
      <c r="U530">
        <f t="shared" si="255"/>
        <v>2.4</v>
      </c>
      <c r="V530">
        <f t="shared" si="256"/>
        <v>0</v>
      </c>
      <c r="W530">
        <f t="shared" si="257"/>
        <v>0</v>
      </c>
      <c r="X530">
        <f t="shared" si="258"/>
        <v>1192.24</v>
      </c>
      <c r="Y530">
        <f t="shared" si="259"/>
        <v>170.32</v>
      </c>
      <c r="AA530">
        <v>1473080740</v>
      </c>
      <c r="AB530">
        <f t="shared" si="260"/>
        <v>434.86</v>
      </c>
      <c r="AC530">
        <f>ROUND(((ES530*2)),6)</f>
        <v>9.06</v>
      </c>
      <c r="AD530">
        <f>ROUND(((((ET530*2))-((EU530*2)))+AE530),6)</f>
        <v>0</v>
      </c>
      <c r="AE530">
        <f>ROUND(((EU530*2)),6)</f>
        <v>0</v>
      </c>
      <c r="AF530">
        <f>ROUND(((EV530*2)),6)</f>
        <v>425.8</v>
      </c>
      <c r="AG530">
        <f t="shared" si="261"/>
        <v>0</v>
      </c>
      <c r="AH530">
        <f>((EW530*2))</f>
        <v>0.6</v>
      </c>
      <c r="AI530">
        <f>((EX530*2))</f>
        <v>0</v>
      </c>
      <c r="AJ530">
        <f t="shared" si="262"/>
        <v>0</v>
      </c>
      <c r="AK530">
        <v>217.43</v>
      </c>
      <c r="AL530">
        <v>4.53</v>
      </c>
      <c r="AM530">
        <v>0</v>
      </c>
      <c r="AN530">
        <v>0</v>
      </c>
      <c r="AO530">
        <v>212.9</v>
      </c>
      <c r="AP530">
        <v>0</v>
      </c>
      <c r="AQ530">
        <v>0.3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249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263"/>
        <v>1739.44</v>
      </c>
      <c r="CQ530">
        <f t="shared" si="264"/>
        <v>9.06</v>
      </c>
      <c r="CR530">
        <f>(((((ET530*2))*BB530-((EU530*2))*BS530)+AE530*BS530)*AV530)</f>
        <v>0</v>
      </c>
      <c r="CS530">
        <f t="shared" si="265"/>
        <v>0</v>
      </c>
      <c r="CT530">
        <f t="shared" si="266"/>
        <v>425.8</v>
      </c>
      <c r="CU530">
        <f t="shared" si="267"/>
        <v>0</v>
      </c>
      <c r="CV530">
        <f t="shared" si="268"/>
        <v>0.6</v>
      </c>
      <c r="CW530">
        <f t="shared" si="269"/>
        <v>0</v>
      </c>
      <c r="CX530">
        <f t="shared" si="270"/>
        <v>0</v>
      </c>
      <c r="CY530">
        <f t="shared" si="271"/>
        <v>1192.24</v>
      </c>
      <c r="CZ530">
        <f t="shared" si="272"/>
        <v>170.32</v>
      </c>
      <c r="DC530" t="s">
        <v>3</v>
      </c>
      <c r="DD530" t="s">
        <v>181</v>
      </c>
      <c r="DE530" t="s">
        <v>181</v>
      </c>
      <c r="DF530" t="s">
        <v>181</v>
      </c>
      <c r="DG530" t="s">
        <v>181</v>
      </c>
      <c r="DH530" t="s">
        <v>3</v>
      </c>
      <c r="DI530" t="s">
        <v>181</v>
      </c>
      <c r="DJ530" t="s">
        <v>181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18</v>
      </c>
      <c r="DW530" t="s">
        <v>18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21</v>
      </c>
      <c r="EH530">
        <v>0</v>
      </c>
      <c r="EI530" t="s">
        <v>3</v>
      </c>
      <c r="EJ530">
        <v>4</v>
      </c>
      <c r="EK530">
        <v>0</v>
      </c>
      <c r="EL530" t="s">
        <v>22</v>
      </c>
      <c r="EM530" t="s">
        <v>23</v>
      </c>
      <c r="EO530" t="s">
        <v>3</v>
      </c>
      <c r="EQ530">
        <v>0</v>
      </c>
      <c r="ER530">
        <v>217.43</v>
      </c>
      <c r="ES530">
        <v>4.53</v>
      </c>
      <c r="ET530">
        <v>0</v>
      </c>
      <c r="EU530">
        <v>0</v>
      </c>
      <c r="EV530">
        <v>212.9</v>
      </c>
      <c r="EW530">
        <v>0.3</v>
      </c>
      <c r="EX530">
        <v>0</v>
      </c>
      <c r="EY530">
        <v>0</v>
      </c>
      <c r="FQ530">
        <v>0</v>
      </c>
      <c r="FR530">
        <f t="shared" si="273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1338640914</v>
      </c>
      <c r="GG530">
        <v>2</v>
      </c>
      <c r="GH530">
        <v>1</v>
      </c>
      <c r="GI530">
        <v>-2</v>
      </c>
      <c r="GJ530">
        <v>0</v>
      </c>
      <c r="GK530">
        <f>ROUND(R530*(R12)/100,2)</f>
        <v>0</v>
      </c>
      <c r="GL530">
        <f t="shared" si="274"/>
        <v>0</v>
      </c>
      <c r="GM530">
        <f t="shared" si="275"/>
        <v>3102</v>
      </c>
      <c r="GN530">
        <f t="shared" si="276"/>
        <v>0</v>
      </c>
      <c r="GO530">
        <f t="shared" si="277"/>
        <v>0</v>
      </c>
      <c r="GP530">
        <f t="shared" si="278"/>
        <v>3102</v>
      </c>
      <c r="GR530">
        <v>0</v>
      </c>
      <c r="GS530">
        <v>3</v>
      </c>
      <c r="GT530">
        <v>0</v>
      </c>
      <c r="GU530" t="s">
        <v>3</v>
      </c>
      <c r="GV530">
        <f t="shared" si="279"/>
        <v>0</v>
      </c>
      <c r="GW530">
        <v>1</v>
      </c>
      <c r="GX530">
        <f t="shared" si="280"/>
        <v>0</v>
      </c>
      <c r="HA530">
        <v>0</v>
      </c>
      <c r="HB530">
        <v>0</v>
      </c>
      <c r="HC530">
        <f t="shared" si="281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C531">
        <f>ROW(SmtRes!A107)</f>
        <v>107</v>
      </c>
      <c r="D531">
        <f>ROW(EtalonRes!A192)</f>
        <v>192</v>
      </c>
      <c r="E531" t="s">
        <v>3</v>
      </c>
      <c r="F531" t="s">
        <v>243</v>
      </c>
      <c r="G531" t="s">
        <v>244</v>
      </c>
      <c r="H531" t="s">
        <v>18</v>
      </c>
      <c r="I531">
        <v>1</v>
      </c>
      <c r="J531">
        <v>0</v>
      </c>
      <c r="K531">
        <v>1</v>
      </c>
      <c r="O531">
        <f t="shared" si="249"/>
        <v>558.16</v>
      </c>
      <c r="P531">
        <f t="shared" si="250"/>
        <v>23.48</v>
      </c>
      <c r="Q531">
        <f t="shared" si="251"/>
        <v>52.12</v>
      </c>
      <c r="R531">
        <f t="shared" si="252"/>
        <v>33.04</v>
      </c>
      <c r="S531">
        <f t="shared" si="253"/>
        <v>482.56</v>
      </c>
      <c r="T531">
        <f t="shared" si="254"/>
        <v>0</v>
      </c>
      <c r="U531">
        <f t="shared" si="255"/>
        <v>0.68</v>
      </c>
      <c r="V531">
        <f t="shared" si="256"/>
        <v>0</v>
      </c>
      <c r="W531">
        <f t="shared" si="257"/>
        <v>0</v>
      </c>
      <c r="X531">
        <f t="shared" si="258"/>
        <v>337.79</v>
      </c>
      <c r="Y531">
        <f t="shared" si="259"/>
        <v>48.26</v>
      </c>
      <c r="AA531">
        <v>-1</v>
      </c>
      <c r="AB531">
        <f t="shared" si="260"/>
        <v>558.16</v>
      </c>
      <c r="AC531">
        <f>ROUND(((ES531*4)),6)</f>
        <v>23.48</v>
      </c>
      <c r="AD531">
        <f>ROUND(((((ET531*4))-((EU531*4)))+AE531),6)</f>
        <v>52.12</v>
      </c>
      <c r="AE531">
        <f>ROUND(((EU531*4)),6)</f>
        <v>33.04</v>
      </c>
      <c r="AF531">
        <f>ROUND(((EV531*4)),6)</f>
        <v>482.56</v>
      </c>
      <c r="AG531">
        <f t="shared" si="261"/>
        <v>0</v>
      </c>
      <c r="AH531">
        <f>((EW531*4))</f>
        <v>0.68</v>
      </c>
      <c r="AI531">
        <f>((EX531*4))</f>
        <v>0</v>
      </c>
      <c r="AJ531">
        <f t="shared" si="262"/>
        <v>0</v>
      </c>
      <c r="AK531">
        <v>139.54</v>
      </c>
      <c r="AL531">
        <v>5.87</v>
      </c>
      <c r="AM531">
        <v>13.03</v>
      </c>
      <c r="AN531">
        <v>8.26</v>
      </c>
      <c r="AO531">
        <v>120.64</v>
      </c>
      <c r="AP531">
        <v>0</v>
      </c>
      <c r="AQ531">
        <v>0.17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245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263"/>
        <v>558.16</v>
      </c>
      <c r="CQ531">
        <f t="shared" si="264"/>
        <v>23.48</v>
      </c>
      <c r="CR531">
        <f>(((((ET531*4))*BB531-((EU531*4))*BS531)+AE531*BS531)*AV531)</f>
        <v>52.12</v>
      </c>
      <c r="CS531">
        <f t="shared" si="265"/>
        <v>33.04</v>
      </c>
      <c r="CT531">
        <f t="shared" si="266"/>
        <v>482.56</v>
      </c>
      <c r="CU531">
        <f t="shared" si="267"/>
        <v>0</v>
      </c>
      <c r="CV531">
        <f t="shared" si="268"/>
        <v>0.68</v>
      </c>
      <c r="CW531">
        <f t="shared" si="269"/>
        <v>0</v>
      </c>
      <c r="CX531">
        <f t="shared" si="270"/>
        <v>0</v>
      </c>
      <c r="CY531">
        <f t="shared" si="271"/>
        <v>337.79199999999997</v>
      </c>
      <c r="CZ531">
        <f t="shared" si="272"/>
        <v>48.256</v>
      </c>
      <c r="DC531" t="s">
        <v>3</v>
      </c>
      <c r="DD531" t="s">
        <v>28</v>
      </c>
      <c r="DE531" t="s">
        <v>28</v>
      </c>
      <c r="DF531" t="s">
        <v>28</v>
      </c>
      <c r="DG531" t="s">
        <v>28</v>
      </c>
      <c r="DH531" t="s">
        <v>3</v>
      </c>
      <c r="DI531" t="s">
        <v>28</v>
      </c>
      <c r="DJ531" t="s">
        <v>28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18</v>
      </c>
      <c r="DW531" t="s">
        <v>18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21</v>
      </c>
      <c r="EH531">
        <v>0</v>
      </c>
      <c r="EI531" t="s">
        <v>3</v>
      </c>
      <c r="EJ531">
        <v>4</v>
      </c>
      <c r="EK531">
        <v>0</v>
      </c>
      <c r="EL531" t="s">
        <v>22</v>
      </c>
      <c r="EM531" t="s">
        <v>23</v>
      </c>
      <c r="EO531" t="s">
        <v>3</v>
      </c>
      <c r="EQ531">
        <v>1024</v>
      </c>
      <c r="ER531">
        <v>139.54</v>
      </c>
      <c r="ES531">
        <v>5.87</v>
      </c>
      <c r="ET531">
        <v>13.03</v>
      </c>
      <c r="EU531">
        <v>8.26</v>
      </c>
      <c r="EV531">
        <v>120.64</v>
      </c>
      <c r="EW531">
        <v>0.17</v>
      </c>
      <c r="EX531">
        <v>0</v>
      </c>
      <c r="EY531">
        <v>0</v>
      </c>
      <c r="FQ531">
        <v>0</v>
      </c>
      <c r="FR531">
        <f t="shared" si="273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-1153194852</v>
      </c>
      <c r="GG531">
        <v>2</v>
      </c>
      <c r="GH531">
        <v>1</v>
      </c>
      <c r="GI531">
        <v>-2</v>
      </c>
      <c r="GJ531">
        <v>0</v>
      </c>
      <c r="GK531">
        <f>ROUND(R531*(R12)/100,2)</f>
        <v>35.68</v>
      </c>
      <c r="GL531">
        <f t="shared" si="274"/>
        <v>0</v>
      </c>
      <c r="GM531">
        <f t="shared" si="275"/>
        <v>979.89</v>
      </c>
      <c r="GN531">
        <f t="shared" si="276"/>
        <v>0</v>
      </c>
      <c r="GO531">
        <f t="shared" si="277"/>
        <v>0</v>
      </c>
      <c r="GP531">
        <f t="shared" si="278"/>
        <v>979.89</v>
      </c>
      <c r="GR531">
        <v>0</v>
      </c>
      <c r="GS531">
        <v>3</v>
      </c>
      <c r="GT531">
        <v>0</v>
      </c>
      <c r="GU531" t="s">
        <v>3</v>
      </c>
      <c r="GV531">
        <f t="shared" si="279"/>
        <v>0</v>
      </c>
      <c r="GW531">
        <v>1</v>
      </c>
      <c r="GX531">
        <f t="shared" si="280"/>
        <v>0</v>
      </c>
      <c r="HA531">
        <v>0</v>
      </c>
      <c r="HB531">
        <v>0</v>
      </c>
      <c r="HC531">
        <f t="shared" si="281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C532">
        <f>ROW(SmtRes!A110)</f>
        <v>110</v>
      </c>
      <c r="D532">
        <f>ROW(EtalonRes!A195)</f>
        <v>195</v>
      </c>
      <c r="E532" t="s">
        <v>270</v>
      </c>
      <c r="F532" t="s">
        <v>247</v>
      </c>
      <c r="G532" t="s">
        <v>248</v>
      </c>
      <c r="H532" t="s">
        <v>18</v>
      </c>
      <c r="I532">
        <f>ROUND(1+8,9)</f>
        <v>9</v>
      </c>
      <c r="J532">
        <v>0</v>
      </c>
      <c r="K532">
        <f>ROUND(1+8,9)</f>
        <v>9</v>
      </c>
      <c r="O532">
        <f t="shared" si="249"/>
        <v>3913.74</v>
      </c>
      <c r="P532">
        <f t="shared" si="250"/>
        <v>81.540000000000006</v>
      </c>
      <c r="Q532">
        <f t="shared" si="251"/>
        <v>0</v>
      </c>
      <c r="R532">
        <f t="shared" si="252"/>
        <v>0</v>
      </c>
      <c r="S532">
        <f t="shared" si="253"/>
        <v>3832.2</v>
      </c>
      <c r="T532">
        <f t="shared" si="254"/>
        <v>0</v>
      </c>
      <c r="U532">
        <f t="shared" si="255"/>
        <v>5.3999999999999995</v>
      </c>
      <c r="V532">
        <f t="shared" si="256"/>
        <v>0</v>
      </c>
      <c r="W532">
        <f t="shared" si="257"/>
        <v>0</v>
      </c>
      <c r="X532">
        <f t="shared" si="258"/>
        <v>2682.54</v>
      </c>
      <c r="Y532">
        <f t="shared" si="259"/>
        <v>383.22</v>
      </c>
      <c r="AA532">
        <v>1473080740</v>
      </c>
      <c r="AB532">
        <f t="shared" si="260"/>
        <v>434.86</v>
      </c>
      <c r="AC532">
        <f>ROUND(((ES532*2)),6)</f>
        <v>9.06</v>
      </c>
      <c r="AD532">
        <f>ROUND(((((ET532*2))-((EU532*2)))+AE532),6)</f>
        <v>0</v>
      </c>
      <c r="AE532">
        <f>ROUND(((EU532*2)),6)</f>
        <v>0</v>
      </c>
      <c r="AF532">
        <f>ROUND(((EV532*2)),6)</f>
        <v>425.8</v>
      </c>
      <c r="AG532">
        <f t="shared" si="261"/>
        <v>0</v>
      </c>
      <c r="AH532">
        <f>((EW532*2))</f>
        <v>0.6</v>
      </c>
      <c r="AI532">
        <f>((EX532*2))</f>
        <v>0</v>
      </c>
      <c r="AJ532">
        <f t="shared" si="262"/>
        <v>0</v>
      </c>
      <c r="AK532">
        <v>217.43</v>
      </c>
      <c r="AL532">
        <v>4.53</v>
      </c>
      <c r="AM532">
        <v>0</v>
      </c>
      <c r="AN532">
        <v>0</v>
      </c>
      <c r="AO532">
        <v>212.9</v>
      </c>
      <c r="AP532">
        <v>0</v>
      </c>
      <c r="AQ532">
        <v>0.3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249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263"/>
        <v>3913.74</v>
      </c>
      <c r="CQ532">
        <f t="shared" si="264"/>
        <v>9.06</v>
      </c>
      <c r="CR532">
        <f>(((((ET532*2))*BB532-((EU532*2))*BS532)+AE532*BS532)*AV532)</f>
        <v>0</v>
      </c>
      <c r="CS532">
        <f t="shared" si="265"/>
        <v>0</v>
      </c>
      <c r="CT532">
        <f t="shared" si="266"/>
        <v>425.8</v>
      </c>
      <c r="CU532">
        <f t="shared" si="267"/>
        <v>0</v>
      </c>
      <c r="CV532">
        <f t="shared" si="268"/>
        <v>0.6</v>
      </c>
      <c r="CW532">
        <f t="shared" si="269"/>
        <v>0</v>
      </c>
      <c r="CX532">
        <f t="shared" si="270"/>
        <v>0</v>
      </c>
      <c r="CY532">
        <f t="shared" si="271"/>
        <v>2682.54</v>
      </c>
      <c r="CZ532">
        <f t="shared" si="272"/>
        <v>383.22</v>
      </c>
      <c r="DC532" t="s">
        <v>3</v>
      </c>
      <c r="DD532" t="s">
        <v>181</v>
      </c>
      <c r="DE532" t="s">
        <v>181</v>
      </c>
      <c r="DF532" t="s">
        <v>181</v>
      </c>
      <c r="DG532" t="s">
        <v>181</v>
      </c>
      <c r="DH532" t="s">
        <v>3</v>
      </c>
      <c r="DI532" t="s">
        <v>181</v>
      </c>
      <c r="DJ532" t="s">
        <v>181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16987630</v>
      </c>
      <c r="DV532" t="s">
        <v>18</v>
      </c>
      <c r="DW532" t="s">
        <v>18</v>
      </c>
      <c r="DX532">
        <v>1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21</v>
      </c>
      <c r="EH532">
        <v>0</v>
      </c>
      <c r="EI532" t="s">
        <v>3</v>
      </c>
      <c r="EJ532">
        <v>4</v>
      </c>
      <c r="EK532">
        <v>0</v>
      </c>
      <c r="EL532" t="s">
        <v>22</v>
      </c>
      <c r="EM532" t="s">
        <v>23</v>
      </c>
      <c r="EO532" t="s">
        <v>3</v>
      </c>
      <c r="EQ532">
        <v>0</v>
      </c>
      <c r="ER532">
        <v>217.43</v>
      </c>
      <c r="ES532">
        <v>4.53</v>
      </c>
      <c r="ET532">
        <v>0</v>
      </c>
      <c r="EU532">
        <v>0</v>
      </c>
      <c r="EV532">
        <v>212.9</v>
      </c>
      <c r="EW532">
        <v>0.3</v>
      </c>
      <c r="EX532">
        <v>0</v>
      </c>
      <c r="EY532">
        <v>0</v>
      </c>
      <c r="FQ532">
        <v>0</v>
      </c>
      <c r="FR532">
        <f t="shared" si="273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1338640914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274"/>
        <v>0</v>
      </c>
      <c r="GM532">
        <f t="shared" si="275"/>
        <v>6979.5</v>
      </c>
      <c r="GN532">
        <f t="shared" si="276"/>
        <v>0</v>
      </c>
      <c r="GO532">
        <f t="shared" si="277"/>
        <v>0</v>
      </c>
      <c r="GP532">
        <f t="shared" si="278"/>
        <v>6979.5</v>
      </c>
      <c r="GR532">
        <v>0</v>
      </c>
      <c r="GS532">
        <v>3</v>
      </c>
      <c r="GT532">
        <v>0</v>
      </c>
      <c r="GU532" t="s">
        <v>3</v>
      </c>
      <c r="GV532">
        <f t="shared" si="279"/>
        <v>0</v>
      </c>
      <c r="GW532">
        <v>1</v>
      </c>
      <c r="GX532">
        <f t="shared" si="280"/>
        <v>0</v>
      </c>
      <c r="HA532">
        <v>0</v>
      </c>
      <c r="HB532">
        <v>0</v>
      </c>
      <c r="HC532">
        <f t="shared" si="281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3" spans="1:245" x14ac:dyDescent="0.2">
      <c r="A533">
        <v>17</v>
      </c>
      <c r="B533">
        <v>1</v>
      </c>
      <c r="C533">
        <f>ROW(SmtRes!A111)</f>
        <v>111</v>
      </c>
      <c r="D533">
        <f>ROW(EtalonRes!A196)</f>
        <v>196</v>
      </c>
      <c r="E533" t="s">
        <v>271</v>
      </c>
      <c r="F533" t="s">
        <v>272</v>
      </c>
      <c r="G533" t="s">
        <v>273</v>
      </c>
      <c r="H533" t="s">
        <v>18</v>
      </c>
      <c r="I533">
        <f>ROUND(1+5,9)</f>
        <v>6</v>
      </c>
      <c r="J533">
        <v>0</v>
      </c>
      <c r="K533">
        <f>ROUND(1+5,9)</f>
        <v>6</v>
      </c>
      <c r="O533">
        <f t="shared" si="249"/>
        <v>9788.8799999999992</v>
      </c>
      <c r="P533">
        <f t="shared" si="250"/>
        <v>0</v>
      </c>
      <c r="Q533">
        <f t="shared" si="251"/>
        <v>0</v>
      </c>
      <c r="R533">
        <f t="shared" si="252"/>
        <v>0</v>
      </c>
      <c r="S533">
        <f t="shared" si="253"/>
        <v>9788.8799999999992</v>
      </c>
      <c r="T533">
        <f t="shared" si="254"/>
        <v>0</v>
      </c>
      <c r="U533">
        <f t="shared" si="255"/>
        <v>12.72</v>
      </c>
      <c r="V533">
        <f t="shared" si="256"/>
        <v>0</v>
      </c>
      <c r="W533">
        <f t="shared" si="257"/>
        <v>0</v>
      </c>
      <c r="X533">
        <f t="shared" si="258"/>
        <v>6852.22</v>
      </c>
      <c r="Y533">
        <f t="shared" si="259"/>
        <v>978.89</v>
      </c>
      <c r="AA533">
        <v>1473080740</v>
      </c>
      <c r="AB533">
        <f t="shared" si="260"/>
        <v>1631.48</v>
      </c>
      <c r="AC533">
        <f>ROUND(((ES533*2)),6)</f>
        <v>0</v>
      </c>
      <c r="AD533">
        <f>ROUND(((((ET533*2))-((EU533*2)))+AE533),6)</f>
        <v>0</v>
      </c>
      <c r="AE533">
        <f>ROUND(((EU533*2)),6)</f>
        <v>0</v>
      </c>
      <c r="AF533">
        <f>ROUND(((EV533*2)),6)</f>
        <v>1631.48</v>
      </c>
      <c r="AG533">
        <f t="shared" si="261"/>
        <v>0</v>
      </c>
      <c r="AH533">
        <f>((EW533*2))</f>
        <v>2.12</v>
      </c>
      <c r="AI533">
        <f>((EX533*2))</f>
        <v>0</v>
      </c>
      <c r="AJ533">
        <f t="shared" si="262"/>
        <v>0</v>
      </c>
      <c r="AK533">
        <v>815.74</v>
      </c>
      <c r="AL533">
        <v>0</v>
      </c>
      <c r="AM533">
        <v>0</v>
      </c>
      <c r="AN533">
        <v>0</v>
      </c>
      <c r="AO533">
        <v>815.74</v>
      </c>
      <c r="AP533">
        <v>0</v>
      </c>
      <c r="AQ533">
        <v>1.06</v>
      </c>
      <c r="AR533">
        <v>0</v>
      </c>
      <c r="AS533">
        <v>0</v>
      </c>
      <c r="AT533">
        <v>70</v>
      </c>
      <c r="AU533">
        <v>10</v>
      </c>
      <c r="AV533">
        <v>1</v>
      </c>
      <c r="AW533">
        <v>1</v>
      </c>
      <c r="AZ533">
        <v>1</v>
      </c>
      <c r="BA533">
        <v>1</v>
      </c>
      <c r="BB533">
        <v>1</v>
      </c>
      <c r="BC533">
        <v>1</v>
      </c>
      <c r="BD533" t="s">
        <v>3</v>
      </c>
      <c r="BE533" t="s">
        <v>3</v>
      </c>
      <c r="BF533" t="s">
        <v>3</v>
      </c>
      <c r="BG533" t="s">
        <v>3</v>
      </c>
      <c r="BH533">
        <v>0</v>
      </c>
      <c r="BI533">
        <v>4</v>
      </c>
      <c r="BJ533" t="s">
        <v>274</v>
      </c>
      <c r="BM533">
        <v>0</v>
      </c>
      <c r="BN533">
        <v>0</v>
      </c>
      <c r="BO533" t="s">
        <v>3</v>
      </c>
      <c r="BP533">
        <v>0</v>
      </c>
      <c r="BQ533">
        <v>1</v>
      </c>
      <c r="BR533">
        <v>0</v>
      </c>
      <c r="BS533">
        <v>1</v>
      </c>
      <c r="BT533">
        <v>1</v>
      </c>
      <c r="BU533">
        <v>1</v>
      </c>
      <c r="BV533">
        <v>1</v>
      </c>
      <c r="BW533">
        <v>1</v>
      </c>
      <c r="BX533">
        <v>1</v>
      </c>
      <c r="BY533" t="s">
        <v>3</v>
      </c>
      <c r="BZ533">
        <v>70</v>
      </c>
      <c r="CA533">
        <v>10</v>
      </c>
      <c r="CB533" t="s">
        <v>3</v>
      </c>
      <c r="CE533">
        <v>0</v>
      </c>
      <c r="CF533">
        <v>0</v>
      </c>
      <c r="CG533">
        <v>0</v>
      </c>
      <c r="CM533">
        <v>0</v>
      </c>
      <c r="CN533" t="s">
        <v>3</v>
      </c>
      <c r="CO533">
        <v>0</v>
      </c>
      <c r="CP533">
        <f t="shared" si="263"/>
        <v>9788.8799999999992</v>
      </c>
      <c r="CQ533">
        <f t="shared" si="264"/>
        <v>0</v>
      </c>
      <c r="CR533">
        <f>(((((ET533*2))*BB533-((EU533*2))*BS533)+AE533*BS533)*AV533)</f>
        <v>0</v>
      </c>
      <c r="CS533">
        <f t="shared" si="265"/>
        <v>0</v>
      </c>
      <c r="CT533">
        <f t="shared" si="266"/>
        <v>1631.48</v>
      </c>
      <c r="CU533">
        <f t="shared" si="267"/>
        <v>0</v>
      </c>
      <c r="CV533">
        <f t="shared" si="268"/>
        <v>2.12</v>
      </c>
      <c r="CW533">
        <f t="shared" si="269"/>
        <v>0</v>
      </c>
      <c r="CX533">
        <f t="shared" si="270"/>
        <v>0</v>
      </c>
      <c r="CY533">
        <f t="shared" si="271"/>
        <v>6852.2159999999994</v>
      </c>
      <c r="CZ533">
        <f t="shared" si="272"/>
        <v>978.88799999999992</v>
      </c>
      <c r="DC533" t="s">
        <v>3</v>
      </c>
      <c r="DD533" t="s">
        <v>181</v>
      </c>
      <c r="DE533" t="s">
        <v>181</v>
      </c>
      <c r="DF533" t="s">
        <v>181</v>
      </c>
      <c r="DG533" t="s">
        <v>181</v>
      </c>
      <c r="DH533" t="s">
        <v>3</v>
      </c>
      <c r="DI533" t="s">
        <v>181</v>
      </c>
      <c r="DJ533" t="s">
        <v>181</v>
      </c>
      <c r="DK533" t="s">
        <v>3</v>
      </c>
      <c r="DL533" t="s">
        <v>3</v>
      </c>
      <c r="DM533" t="s">
        <v>3</v>
      </c>
      <c r="DN533">
        <v>0</v>
      </c>
      <c r="DO533">
        <v>0</v>
      </c>
      <c r="DP533">
        <v>1</v>
      </c>
      <c r="DQ533">
        <v>1</v>
      </c>
      <c r="DU533">
        <v>16987630</v>
      </c>
      <c r="DV533" t="s">
        <v>18</v>
      </c>
      <c r="DW533" t="s">
        <v>18</v>
      </c>
      <c r="DX533">
        <v>1</v>
      </c>
      <c r="DZ533" t="s">
        <v>3</v>
      </c>
      <c r="EA533" t="s">
        <v>3</v>
      </c>
      <c r="EB533" t="s">
        <v>3</v>
      </c>
      <c r="EC533" t="s">
        <v>3</v>
      </c>
      <c r="EE533">
        <v>1441815344</v>
      </c>
      <c r="EF533">
        <v>1</v>
      </c>
      <c r="EG533" t="s">
        <v>21</v>
      </c>
      <c r="EH533">
        <v>0</v>
      </c>
      <c r="EI533" t="s">
        <v>3</v>
      </c>
      <c r="EJ533">
        <v>4</v>
      </c>
      <c r="EK533">
        <v>0</v>
      </c>
      <c r="EL533" t="s">
        <v>22</v>
      </c>
      <c r="EM533" t="s">
        <v>23</v>
      </c>
      <c r="EO533" t="s">
        <v>3</v>
      </c>
      <c r="EQ533">
        <v>0</v>
      </c>
      <c r="ER533">
        <v>815.74</v>
      </c>
      <c r="ES533">
        <v>0</v>
      </c>
      <c r="ET533">
        <v>0</v>
      </c>
      <c r="EU533">
        <v>0</v>
      </c>
      <c r="EV533">
        <v>815.74</v>
      </c>
      <c r="EW533">
        <v>1.06</v>
      </c>
      <c r="EX533">
        <v>0</v>
      </c>
      <c r="EY533">
        <v>0</v>
      </c>
      <c r="FQ533">
        <v>0</v>
      </c>
      <c r="FR533">
        <f t="shared" si="273"/>
        <v>0</v>
      </c>
      <c r="FS533">
        <v>0</v>
      </c>
      <c r="FX533">
        <v>70</v>
      </c>
      <c r="FY533">
        <v>10</v>
      </c>
      <c r="GA533" t="s">
        <v>3</v>
      </c>
      <c r="GD533">
        <v>0</v>
      </c>
      <c r="GF533">
        <v>-1206690507</v>
      </c>
      <c r="GG533">
        <v>2</v>
      </c>
      <c r="GH533">
        <v>1</v>
      </c>
      <c r="GI533">
        <v>-2</v>
      </c>
      <c r="GJ533">
        <v>0</v>
      </c>
      <c r="GK533">
        <f>ROUND(R533*(R12)/100,2)</f>
        <v>0</v>
      </c>
      <c r="GL533">
        <f t="shared" si="274"/>
        <v>0</v>
      </c>
      <c r="GM533">
        <f t="shared" si="275"/>
        <v>17619.990000000002</v>
      </c>
      <c r="GN533">
        <f t="shared" si="276"/>
        <v>0</v>
      </c>
      <c r="GO533">
        <f t="shared" si="277"/>
        <v>0</v>
      </c>
      <c r="GP533">
        <f t="shared" si="278"/>
        <v>17619.990000000002</v>
      </c>
      <c r="GR533">
        <v>0</v>
      </c>
      <c r="GS533">
        <v>3</v>
      </c>
      <c r="GT533">
        <v>0</v>
      </c>
      <c r="GU533" t="s">
        <v>3</v>
      </c>
      <c r="GV533">
        <f t="shared" si="279"/>
        <v>0</v>
      </c>
      <c r="GW533">
        <v>1</v>
      </c>
      <c r="GX533">
        <f t="shared" si="280"/>
        <v>0</v>
      </c>
      <c r="HA533">
        <v>0</v>
      </c>
      <c r="HB533">
        <v>0</v>
      </c>
      <c r="HC533">
        <f t="shared" si="281"/>
        <v>0</v>
      </c>
      <c r="HE533" t="s">
        <v>3</v>
      </c>
      <c r="HF533" t="s">
        <v>3</v>
      </c>
      <c r="HM533" t="s">
        <v>3</v>
      </c>
      <c r="HN533" t="s">
        <v>3</v>
      </c>
      <c r="HO533" t="s">
        <v>3</v>
      </c>
      <c r="HP533" t="s">
        <v>3</v>
      </c>
      <c r="HQ533" t="s">
        <v>3</v>
      </c>
      <c r="IK533">
        <v>0</v>
      </c>
    </row>
    <row r="535" spans="1:245" x14ac:dyDescent="0.2">
      <c r="A535" s="2">
        <v>51</v>
      </c>
      <c r="B535" s="2">
        <f>B490</f>
        <v>1</v>
      </c>
      <c r="C535" s="2">
        <f>A490</f>
        <v>5</v>
      </c>
      <c r="D535" s="2">
        <f>ROW(A490)</f>
        <v>490</v>
      </c>
      <c r="E535" s="2"/>
      <c r="F535" s="2" t="str">
        <f>IF(F490&lt;&gt;"",F490,"")</f>
        <v>Новый подраздел</v>
      </c>
      <c r="G535" s="2" t="str">
        <f>IF(G490&lt;&gt;"",G490,"")</f>
        <v>Оборудование</v>
      </c>
      <c r="H535" s="2">
        <v>0</v>
      </c>
      <c r="I535" s="2"/>
      <c r="J535" s="2"/>
      <c r="K535" s="2"/>
      <c r="L535" s="2"/>
      <c r="M535" s="2"/>
      <c r="N535" s="2"/>
      <c r="O535" s="2">
        <f t="shared" ref="O535:T535" si="282">ROUND(AB535,2)</f>
        <v>49219.83</v>
      </c>
      <c r="P535" s="2">
        <f t="shared" si="282"/>
        <v>687.38</v>
      </c>
      <c r="Q535" s="2">
        <f t="shared" si="282"/>
        <v>39.090000000000003</v>
      </c>
      <c r="R535" s="2">
        <f t="shared" si="282"/>
        <v>24.79</v>
      </c>
      <c r="S535" s="2">
        <f t="shared" si="282"/>
        <v>48493.36</v>
      </c>
      <c r="T535" s="2">
        <f t="shared" si="282"/>
        <v>0</v>
      </c>
      <c r="U535" s="2">
        <f>AH535</f>
        <v>70.719999999999985</v>
      </c>
      <c r="V535" s="2">
        <f>AI535</f>
        <v>0</v>
      </c>
      <c r="W535" s="2">
        <f>ROUND(AJ535,2)</f>
        <v>0</v>
      </c>
      <c r="X535" s="2">
        <f>ROUND(AK535,2)</f>
        <v>33945.370000000003</v>
      </c>
      <c r="Y535" s="2">
        <f>ROUND(AL535,2)</f>
        <v>4849.3500000000004</v>
      </c>
      <c r="Z535" s="2"/>
      <c r="AA535" s="2"/>
      <c r="AB535" s="2">
        <f>ROUND(SUMIF(AA494:AA533,"=1473080740",O494:O533),2)</f>
        <v>49219.83</v>
      </c>
      <c r="AC535" s="2">
        <f>ROUND(SUMIF(AA494:AA533,"=1473080740",P494:P533),2)</f>
        <v>687.38</v>
      </c>
      <c r="AD535" s="2">
        <f>ROUND(SUMIF(AA494:AA533,"=1473080740",Q494:Q533),2)</f>
        <v>39.090000000000003</v>
      </c>
      <c r="AE535" s="2">
        <f>ROUND(SUMIF(AA494:AA533,"=1473080740",R494:R533),2)</f>
        <v>24.79</v>
      </c>
      <c r="AF535" s="2">
        <f>ROUND(SUMIF(AA494:AA533,"=1473080740",S494:S533),2)</f>
        <v>48493.36</v>
      </c>
      <c r="AG535" s="2">
        <f>ROUND(SUMIF(AA494:AA533,"=1473080740",T494:T533),2)</f>
        <v>0</v>
      </c>
      <c r="AH535" s="2">
        <f>SUMIF(AA494:AA533,"=1473080740",U494:U533)</f>
        <v>70.719999999999985</v>
      </c>
      <c r="AI535" s="2">
        <f>SUMIF(AA494:AA533,"=1473080740",V494:V533)</f>
        <v>0</v>
      </c>
      <c r="AJ535" s="2">
        <f>ROUND(SUMIF(AA494:AA533,"=1473080740",W494:W533),2)</f>
        <v>0</v>
      </c>
      <c r="AK535" s="2">
        <f>ROUND(SUMIF(AA494:AA533,"=1473080740",X494:X533),2)</f>
        <v>33945.370000000003</v>
      </c>
      <c r="AL535" s="2">
        <f>ROUND(SUMIF(AA494:AA533,"=1473080740",Y494:Y533),2)</f>
        <v>4849.3500000000004</v>
      </c>
      <c r="AM535" s="2"/>
      <c r="AN535" s="2"/>
      <c r="AO535" s="2">
        <f t="shared" ref="AO535:BD535" si="283">ROUND(BX535,2)</f>
        <v>0</v>
      </c>
      <c r="AP535" s="2">
        <f t="shared" si="283"/>
        <v>0</v>
      </c>
      <c r="AQ535" s="2">
        <f t="shared" si="283"/>
        <v>0</v>
      </c>
      <c r="AR535" s="2">
        <f t="shared" si="283"/>
        <v>88041.32</v>
      </c>
      <c r="AS535" s="2">
        <f t="shared" si="283"/>
        <v>0</v>
      </c>
      <c r="AT535" s="2">
        <f t="shared" si="283"/>
        <v>0</v>
      </c>
      <c r="AU535" s="2">
        <f t="shared" si="283"/>
        <v>88041.32</v>
      </c>
      <c r="AV535" s="2">
        <f t="shared" si="283"/>
        <v>687.38</v>
      </c>
      <c r="AW535" s="2">
        <f t="shared" si="283"/>
        <v>687.38</v>
      </c>
      <c r="AX535" s="2">
        <f t="shared" si="283"/>
        <v>0</v>
      </c>
      <c r="AY535" s="2">
        <f t="shared" si="283"/>
        <v>687.38</v>
      </c>
      <c r="AZ535" s="2">
        <f t="shared" si="283"/>
        <v>0</v>
      </c>
      <c r="BA535" s="2">
        <f t="shared" si="283"/>
        <v>0</v>
      </c>
      <c r="BB535" s="2">
        <f t="shared" si="283"/>
        <v>0</v>
      </c>
      <c r="BC535" s="2">
        <f t="shared" si="283"/>
        <v>0</v>
      </c>
      <c r="BD535" s="2">
        <f t="shared" si="283"/>
        <v>0</v>
      </c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>
        <f>ROUND(SUMIF(AA494:AA533,"=1473080740",FQ494:FQ533),2)</f>
        <v>0</v>
      </c>
      <c r="BY535" s="2">
        <f>ROUND(SUMIF(AA494:AA533,"=1473080740",FR494:FR533),2)</f>
        <v>0</v>
      </c>
      <c r="BZ535" s="2">
        <f>ROUND(SUMIF(AA494:AA533,"=1473080740",GL494:GL533),2)</f>
        <v>0</v>
      </c>
      <c r="CA535" s="2">
        <f>ROUND(SUMIF(AA494:AA533,"=1473080740",GM494:GM533),2)</f>
        <v>88041.32</v>
      </c>
      <c r="CB535" s="2">
        <f>ROUND(SUMIF(AA494:AA533,"=1473080740",GN494:GN533),2)</f>
        <v>0</v>
      </c>
      <c r="CC535" s="2">
        <f>ROUND(SUMIF(AA494:AA533,"=1473080740",GO494:GO533),2)</f>
        <v>0</v>
      </c>
      <c r="CD535" s="2">
        <f>ROUND(SUMIF(AA494:AA533,"=1473080740",GP494:GP533),2)</f>
        <v>88041.32</v>
      </c>
      <c r="CE535" s="2">
        <f>AC535-BX535</f>
        <v>687.38</v>
      </c>
      <c r="CF535" s="2">
        <f>AC535-BY535</f>
        <v>687.38</v>
      </c>
      <c r="CG535" s="2">
        <f>BX535-BZ535</f>
        <v>0</v>
      </c>
      <c r="CH535" s="2">
        <f>AC535-BX535-BY535+BZ535</f>
        <v>687.38</v>
      </c>
      <c r="CI535" s="2">
        <f>BY535-BZ535</f>
        <v>0</v>
      </c>
      <c r="CJ535" s="2">
        <f>ROUND(SUMIF(AA494:AA533,"=1473080740",GX494:GX533),2)</f>
        <v>0</v>
      </c>
      <c r="CK535" s="2">
        <f>ROUND(SUMIF(AA494:AA533,"=1473080740",GY494:GY533),2)</f>
        <v>0</v>
      </c>
      <c r="CL535" s="2">
        <f>ROUND(SUMIF(AA494:AA533,"=1473080740",GZ494:GZ533),2)</f>
        <v>0</v>
      </c>
      <c r="CM535" s="2">
        <f>ROUND(SUMIF(AA494:AA533,"=1473080740",HD494:HD533),2)</f>
        <v>0</v>
      </c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3"/>
      <c r="DH535" s="3"/>
      <c r="DI535" s="3"/>
      <c r="DJ535" s="3"/>
      <c r="DK535" s="3"/>
      <c r="DL535" s="3"/>
      <c r="DM535" s="3"/>
      <c r="DN535" s="3"/>
      <c r="DO535" s="3"/>
      <c r="DP535" s="3"/>
      <c r="DQ535" s="3"/>
      <c r="DR535" s="3"/>
      <c r="DS535" s="3"/>
      <c r="DT535" s="3"/>
      <c r="DU535" s="3"/>
      <c r="DV535" s="3"/>
      <c r="DW535" s="3"/>
      <c r="DX535" s="3"/>
      <c r="DY535" s="3"/>
      <c r="DZ535" s="3"/>
      <c r="EA535" s="3"/>
      <c r="EB535" s="3"/>
      <c r="EC535" s="3"/>
      <c r="ED535" s="3"/>
      <c r="EE535" s="3"/>
      <c r="EF535" s="3"/>
      <c r="EG535" s="3"/>
      <c r="EH535" s="3"/>
      <c r="EI535" s="3"/>
      <c r="EJ535" s="3"/>
      <c r="EK535" s="3"/>
      <c r="EL535" s="3"/>
      <c r="EM535" s="3"/>
      <c r="EN535" s="3"/>
      <c r="EO535" s="3"/>
      <c r="EP535" s="3"/>
      <c r="EQ535" s="3"/>
      <c r="ER535" s="3"/>
      <c r="ES535" s="3"/>
      <c r="ET535" s="3"/>
      <c r="EU535" s="3"/>
      <c r="EV535" s="3"/>
      <c r="EW535" s="3"/>
      <c r="EX535" s="3"/>
      <c r="EY535" s="3"/>
      <c r="EZ535" s="3"/>
      <c r="FA535" s="3"/>
      <c r="FB535" s="3"/>
      <c r="FC535" s="3"/>
      <c r="FD535" s="3"/>
      <c r="FE535" s="3"/>
      <c r="FF535" s="3"/>
      <c r="FG535" s="3"/>
      <c r="FH535" s="3"/>
      <c r="FI535" s="3"/>
      <c r="FJ535" s="3"/>
      <c r="FK535" s="3"/>
      <c r="FL535" s="3"/>
      <c r="FM535" s="3"/>
      <c r="FN535" s="3"/>
      <c r="FO535" s="3"/>
      <c r="FP535" s="3"/>
      <c r="FQ535" s="3"/>
      <c r="FR535" s="3"/>
      <c r="FS535" s="3"/>
      <c r="FT535" s="3"/>
      <c r="FU535" s="3"/>
      <c r="FV535" s="3"/>
      <c r="FW535" s="3"/>
      <c r="FX535" s="3"/>
      <c r="FY535" s="3"/>
      <c r="FZ535" s="3"/>
      <c r="GA535" s="3"/>
      <c r="GB535" s="3"/>
      <c r="GC535" s="3"/>
      <c r="GD535" s="3"/>
      <c r="GE535" s="3"/>
      <c r="GF535" s="3"/>
      <c r="GG535" s="3"/>
      <c r="GH535" s="3"/>
      <c r="GI535" s="3"/>
      <c r="GJ535" s="3"/>
      <c r="GK535" s="3"/>
      <c r="GL535" s="3"/>
      <c r="GM535" s="3"/>
      <c r="GN535" s="3"/>
      <c r="GO535" s="3"/>
      <c r="GP535" s="3"/>
      <c r="GQ535" s="3"/>
      <c r="GR535" s="3"/>
      <c r="GS535" s="3"/>
      <c r="GT535" s="3"/>
      <c r="GU535" s="3"/>
      <c r="GV535" s="3"/>
      <c r="GW535" s="3"/>
      <c r="GX535" s="3">
        <v>0</v>
      </c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201</v>
      </c>
      <c r="F537" s="4">
        <f>ROUND(Source!O535,O537)</f>
        <v>49219.83</v>
      </c>
      <c r="G537" s="4" t="s">
        <v>43</v>
      </c>
      <c r="H537" s="4" t="s">
        <v>44</v>
      </c>
      <c r="I537" s="4"/>
      <c r="J537" s="4"/>
      <c r="K537" s="4">
        <v>201</v>
      </c>
      <c r="L537" s="4">
        <v>1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49219.83</v>
      </c>
      <c r="X537" s="4">
        <v>1</v>
      </c>
      <c r="Y537" s="4">
        <v>49219.83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202</v>
      </c>
      <c r="F538" s="4">
        <f>ROUND(Source!P535,O538)</f>
        <v>687.38</v>
      </c>
      <c r="G538" s="4" t="s">
        <v>45</v>
      </c>
      <c r="H538" s="4" t="s">
        <v>46</v>
      </c>
      <c r="I538" s="4"/>
      <c r="J538" s="4"/>
      <c r="K538" s="4">
        <v>202</v>
      </c>
      <c r="L538" s="4">
        <v>2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687.38</v>
      </c>
      <c r="X538" s="4">
        <v>1</v>
      </c>
      <c r="Y538" s="4">
        <v>687.38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222</v>
      </c>
      <c r="F539" s="4">
        <f>ROUND(Source!AO535,O539)</f>
        <v>0</v>
      </c>
      <c r="G539" s="4" t="s">
        <v>47</v>
      </c>
      <c r="H539" s="4" t="s">
        <v>48</v>
      </c>
      <c r="I539" s="4"/>
      <c r="J539" s="4"/>
      <c r="K539" s="4">
        <v>222</v>
      </c>
      <c r="L539" s="4">
        <v>3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225</v>
      </c>
      <c r="F540" s="4">
        <f>ROUND(Source!AV535,O540)</f>
        <v>687.38</v>
      </c>
      <c r="G540" s="4" t="s">
        <v>49</v>
      </c>
      <c r="H540" s="4" t="s">
        <v>50</v>
      </c>
      <c r="I540" s="4"/>
      <c r="J540" s="4"/>
      <c r="K540" s="4">
        <v>225</v>
      </c>
      <c r="L540" s="4">
        <v>4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687.38</v>
      </c>
      <c r="X540" s="4">
        <v>1</v>
      </c>
      <c r="Y540" s="4">
        <v>687.38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226</v>
      </c>
      <c r="F541" s="4">
        <f>ROUND(Source!AW535,O541)</f>
        <v>687.38</v>
      </c>
      <c r="G541" s="4" t="s">
        <v>51</v>
      </c>
      <c r="H541" s="4" t="s">
        <v>52</v>
      </c>
      <c r="I541" s="4"/>
      <c r="J541" s="4"/>
      <c r="K541" s="4">
        <v>226</v>
      </c>
      <c r="L541" s="4">
        <v>5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687.38</v>
      </c>
      <c r="X541" s="4">
        <v>1</v>
      </c>
      <c r="Y541" s="4">
        <v>687.38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227</v>
      </c>
      <c r="F542" s="4">
        <f>ROUND(Source!AX535,O542)</f>
        <v>0</v>
      </c>
      <c r="G542" s="4" t="s">
        <v>53</v>
      </c>
      <c r="H542" s="4" t="s">
        <v>54</v>
      </c>
      <c r="I542" s="4"/>
      <c r="J542" s="4"/>
      <c r="K542" s="4">
        <v>227</v>
      </c>
      <c r="L542" s="4">
        <v>6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228</v>
      </c>
      <c r="F543" s="4">
        <f>ROUND(Source!AY535,O543)</f>
        <v>687.38</v>
      </c>
      <c r="G543" s="4" t="s">
        <v>55</v>
      </c>
      <c r="H543" s="4" t="s">
        <v>56</v>
      </c>
      <c r="I543" s="4"/>
      <c r="J543" s="4"/>
      <c r="K543" s="4">
        <v>228</v>
      </c>
      <c r="L543" s="4">
        <v>7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687.38</v>
      </c>
      <c r="X543" s="4">
        <v>1</v>
      </c>
      <c r="Y543" s="4">
        <v>687.38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216</v>
      </c>
      <c r="F544" s="4">
        <f>ROUND(Source!AP535,O544)</f>
        <v>0</v>
      </c>
      <c r="G544" s="4" t="s">
        <v>57</v>
      </c>
      <c r="H544" s="4" t="s">
        <v>58</v>
      </c>
      <c r="I544" s="4"/>
      <c r="J544" s="4"/>
      <c r="K544" s="4">
        <v>216</v>
      </c>
      <c r="L544" s="4">
        <v>8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223</v>
      </c>
      <c r="F545" s="4">
        <f>ROUND(Source!AQ535,O545)</f>
        <v>0</v>
      </c>
      <c r="G545" s="4" t="s">
        <v>59</v>
      </c>
      <c r="H545" s="4" t="s">
        <v>60</v>
      </c>
      <c r="I545" s="4"/>
      <c r="J545" s="4"/>
      <c r="K545" s="4">
        <v>223</v>
      </c>
      <c r="L545" s="4">
        <v>9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229</v>
      </c>
      <c r="F546" s="4">
        <f>ROUND(Source!AZ535,O546)</f>
        <v>0</v>
      </c>
      <c r="G546" s="4" t="s">
        <v>61</v>
      </c>
      <c r="H546" s="4" t="s">
        <v>62</v>
      </c>
      <c r="I546" s="4"/>
      <c r="J546" s="4"/>
      <c r="K546" s="4">
        <v>229</v>
      </c>
      <c r="L546" s="4">
        <v>10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203</v>
      </c>
      <c r="F547" s="4">
        <f>ROUND(Source!Q535,O547)</f>
        <v>39.090000000000003</v>
      </c>
      <c r="G547" s="4" t="s">
        <v>63</v>
      </c>
      <c r="H547" s="4" t="s">
        <v>64</v>
      </c>
      <c r="I547" s="4"/>
      <c r="J547" s="4"/>
      <c r="K547" s="4">
        <v>203</v>
      </c>
      <c r="L547" s="4">
        <v>11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39.090000000000003</v>
      </c>
      <c r="X547" s="4">
        <v>1</v>
      </c>
      <c r="Y547" s="4">
        <v>39.090000000000003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231</v>
      </c>
      <c r="F548" s="4">
        <f>ROUND(Source!BB535,O548)</f>
        <v>0</v>
      </c>
      <c r="G548" s="4" t="s">
        <v>65</v>
      </c>
      <c r="H548" s="4" t="s">
        <v>66</v>
      </c>
      <c r="I548" s="4"/>
      <c r="J548" s="4"/>
      <c r="K548" s="4">
        <v>231</v>
      </c>
      <c r="L548" s="4">
        <v>12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204</v>
      </c>
      <c r="F549" s="4">
        <f>ROUND(Source!R535,O549)</f>
        <v>24.79</v>
      </c>
      <c r="G549" s="4" t="s">
        <v>67</v>
      </c>
      <c r="H549" s="4" t="s">
        <v>68</v>
      </c>
      <c r="I549" s="4"/>
      <c r="J549" s="4"/>
      <c r="K549" s="4">
        <v>204</v>
      </c>
      <c r="L549" s="4">
        <v>13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24.79</v>
      </c>
      <c r="X549" s="4">
        <v>1</v>
      </c>
      <c r="Y549" s="4">
        <v>24.79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205</v>
      </c>
      <c r="F550" s="4">
        <f>ROUND(Source!S535,O550)</f>
        <v>48493.36</v>
      </c>
      <c r="G550" s="4" t="s">
        <v>69</v>
      </c>
      <c r="H550" s="4" t="s">
        <v>70</v>
      </c>
      <c r="I550" s="4"/>
      <c r="J550" s="4"/>
      <c r="K550" s="4">
        <v>205</v>
      </c>
      <c r="L550" s="4">
        <v>14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48493.36</v>
      </c>
      <c r="X550" s="4">
        <v>1</v>
      </c>
      <c r="Y550" s="4">
        <v>48493.36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232</v>
      </c>
      <c r="F551" s="4">
        <f>ROUND(Source!BC535,O551)</f>
        <v>0</v>
      </c>
      <c r="G551" s="4" t="s">
        <v>71</v>
      </c>
      <c r="H551" s="4" t="s">
        <v>72</v>
      </c>
      <c r="I551" s="4"/>
      <c r="J551" s="4"/>
      <c r="K551" s="4">
        <v>232</v>
      </c>
      <c r="L551" s="4">
        <v>15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214</v>
      </c>
      <c r="F552" s="4">
        <f>ROUND(Source!AS535,O552)</f>
        <v>0</v>
      </c>
      <c r="G552" s="4" t="s">
        <v>73</v>
      </c>
      <c r="H552" s="4" t="s">
        <v>74</v>
      </c>
      <c r="I552" s="4"/>
      <c r="J552" s="4"/>
      <c r="K552" s="4">
        <v>214</v>
      </c>
      <c r="L552" s="4">
        <v>16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215</v>
      </c>
      <c r="F553" s="4">
        <f>ROUND(Source!AT535,O553)</f>
        <v>0</v>
      </c>
      <c r="G553" s="4" t="s">
        <v>75</v>
      </c>
      <c r="H553" s="4" t="s">
        <v>76</v>
      </c>
      <c r="I553" s="4"/>
      <c r="J553" s="4"/>
      <c r="K553" s="4">
        <v>215</v>
      </c>
      <c r="L553" s="4">
        <v>17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217</v>
      </c>
      <c r="F554" s="4">
        <f>ROUND(Source!AU535,O554)</f>
        <v>88041.32</v>
      </c>
      <c r="G554" s="4" t="s">
        <v>77</v>
      </c>
      <c r="H554" s="4" t="s">
        <v>78</v>
      </c>
      <c r="I554" s="4"/>
      <c r="J554" s="4"/>
      <c r="K554" s="4">
        <v>217</v>
      </c>
      <c r="L554" s="4">
        <v>18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88041.32</v>
      </c>
      <c r="X554" s="4">
        <v>1</v>
      </c>
      <c r="Y554" s="4">
        <v>88041.32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230</v>
      </c>
      <c r="F555" s="4">
        <f>ROUND(Source!BA535,O555)</f>
        <v>0</v>
      </c>
      <c r="G555" s="4" t="s">
        <v>79</v>
      </c>
      <c r="H555" s="4" t="s">
        <v>80</v>
      </c>
      <c r="I555" s="4"/>
      <c r="J555" s="4"/>
      <c r="K555" s="4">
        <v>230</v>
      </c>
      <c r="L555" s="4">
        <v>19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206</v>
      </c>
      <c r="F556" s="4">
        <f>ROUND(Source!T535,O556)</f>
        <v>0</v>
      </c>
      <c r="G556" s="4" t="s">
        <v>81</v>
      </c>
      <c r="H556" s="4" t="s">
        <v>82</v>
      </c>
      <c r="I556" s="4"/>
      <c r="J556" s="4"/>
      <c r="K556" s="4">
        <v>206</v>
      </c>
      <c r="L556" s="4">
        <v>20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207</v>
      </c>
      <c r="F557" s="4">
        <f>Source!U535</f>
        <v>70.719999999999985</v>
      </c>
      <c r="G557" s="4" t="s">
        <v>83</v>
      </c>
      <c r="H557" s="4" t="s">
        <v>84</v>
      </c>
      <c r="I557" s="4"/>
      <c r="J557" s="4"/>
      <c r="K557" s="4">
        <v>207</v>
      </c>
      <c r="L557" s="4">
        <v>21</v>
      </c>
      <c r="M557" s="4">
        <v>3</v>
      </c>
      <c r="N557" s="4" t="s">
        <v>3</v>
      </c>
      <c r="O557" s="4">
        <v>-1</v>
      </c>
      <c r="P557" s="4"/>
      <c r="Q557" s="4"/>
      <c r="R557" s="4"/>
      <c r="S557" s="4"/>
      <c r="T557" s="4"/>
      <c r="U557" s="4"/>
      <c r="V557" s="4"/>
      <c r="W557" s="4">
        <v>70.719999999999985</v>
      </c>
      <c r="X557" s="4">
        <v>1</v>
      </c>
      <c r="Y557" s="4">
        <v>70.719999999999985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208</v>
      </c>
      <c r="F558" s="4">
        <f>Source!V535</f>
        <v>0</v>
      </c>
      <c r="G558" s="4" t="s">
        <v>85</v>
      </c>
      <c r="H558" s="4" t="s">
        <v>86</v>
      </c>
      <c r="I558" s="4"/>
      <c r="J558" s="4"/>
      <c r="K558" s="4">
        <v>208</v>
      </c>
      <c r="L558" s="4">
        <v>22</v>
      </c>
      <c r="M558" s="4">
        <v>3</v>
      </c>
      <c r="N558" s="4" t="s">
        <v>3</v>
      </c>
      <c r="O558" s="4">
        <v>-1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209</v>
      </c>
      <c r="F559" s="4">
        <f>ROUND(Source!W535,O559)</f>
        <v>0</v>
      </c>
      <c r="G559" s="4" t="s">
        <v>87</v>
      </c>
      <c r="H559" s="4" t="s">
        <v>88</v>
      </c>
      <c r="I559" s="4"/>
      <c r="J559" s="4"/>
      <c r="K559" s="4">
        <v>209</v>
      </c>
      <c r="L559" s="4">
        <v>23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233</v>
      </c>
      <c r="F560" s="4">
        <f>ROUND(Source!BD535,O560)</f>
        <v>0</v>
      </c>
      <c r="G560" s="4" t="s">
        <v>89</v>
      </c>
      <c r="H560" s="4" t="s">
        <v>90</v>
      </c>
      <c r="I560" s="4"/>
      <c r="J560" s="4"/>
      <c r="K560" s="4">
        <v>233</v>
      </c>
      <c r="L560" s="4">
        <v>24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0</v>
      </c>
      <c r="X560" s="4">
        <v>1</v>
      </c>
      <c r="Y560" s="4">
        <v>0</v>
      </c>
      <c r="Z560" s="4"/>
      <c r="AA560" s="4"/>
      <c r="AB560" s="4"/>
    </row>
    <row r="561" spans="1:245" x14ac:dyDescent="0.2">
      <c r="A561" s="4">
        <v>50</v>
      </c>
      <c r="B561" s="4">
        <v>0</v>
      </c>
      <c r="C561" s="4">
        <v>0</v>
      </c>
      <c r="D561" s="4">
        <v>1</v>
      </c>
      <c r="E561" s="4">
        <v>210</v>
      </c>
      <c r="F561" s="4">
        <f>ROUND(Source!X535,O561)</f>
        <v>33945.370000000003</v>
      </c>
      <c r="G561" s="4" t="s">
        <v>91</v>
      </c>
      <c r="H561" s="4" t="s">
        <v>92</v>
      </c>
      <c r="I561" s="4"/>
      <c r="J561" s="4"/>
      <c r="K561" s="4">
        <v>210</v>
      </c>
      <c r="L561" s="4">
        <v>25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33945.370000000003</v>
      </c>
      <c r="X561" s="4">
        <v>1</v>
      </c>
      <c r="Y561" s="4">
        <v>33945.370000000003</v>
      </c>
      <c r="Z561" s="4"/>
      <c r="AA561" s="4"/>
      <c r="AB561" s="4"/>
    </row>
    <row r="562" spans="1:245" x14ac:dyDescent="0.2">
      <c r="A562" s="4">
        <v>50</v>
      </c>
      <c r="B562" s="4">
        <v>0</v>
      </c>
      <c r="C562" s="4">
        <v>0</v>
      </c>
      <c r="D562" s="4">
        <v>1</v>
      </c>
      <c r="E562" s="4">
        <v>211</v>
      </c>
      <c r="F562" s="4">
        <f>ROUND(Source!Y535,O562)</f>
        <v>4849.3500000000004</v>
      </c>
      <c r="G562" s="4" t="s">
        <v>93</v>
      </c>
      <c r="H562" s="4" t="s">
        <v>94</v>
      </c>
      <c r="I562" s="4"/>
      <c r="J562" s="4"/>
      <c r="K562" s="4">
        <v>211</v>
      </c>
      <c r="L562" s="4">
        <v>26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4849.3500000000004</v>
      </c>
      <c r="X562" s="4">
        <v>1</v>
      </c>
      <c r="Y562" s="4">
        <v>4849.3500000000004</v>
      </c>
      <c r="Z562" s="4"/>
      <c r="AA562" s="4"/>
      <c r="AB562" s="4"/>
    </row>
    <row r="563" spans="1:245" x14ac:dyDescent="0.2">
      <c r="A563" s="4">
        <v>50</v>
      </c>
      <c r="B563" s="4">
        <v>0</v>
      </c>
      <c r="C563" s="4">
        <v>0</v>
      </c>
      <c r="D563" s="4">
        <v>1</v>
      </c>
      <c r="E563" s="4">
        <v>224</v>
      </c>
      <c r="F563" s="4">
        <f>ROUND(Source!AR535,O563)</f>
        <v>88041.32</v>
      </c>
      <c r="G563" s="4" t="s">
        <v>95</v>
      </c>
      <c r="H563" s="4" t="s">
        <v>96</v>
      </c>
      <c r="I563" s="4"/>
      <c r="J563" s="4"/>
      <c r="K563" s="4">
        <v>224</v>
      </c>
      <c r="L563" s="4">
        <v>27</v>
      </c>
      <c r="M563" s="4">
        <v>3</v>
      </c>
      <c r="N563" s="4" t="s">
        <v>3</v>
      </c>
      <c r="O563" s="4">
        <v>2</v>
      </c>
      <c r="P563" s="4"/>
      <c r="Q563" s="4"/>
      <c r="R563" s="4"/>
      <c r="S563" s="4"/>
      <c r="T563" s="4"/>
      <c r="U563" s="4"/>
      <c r="V563" s="4"/>
      <c r="W563" s="4">
        <v>88041.32</v>
      </c>
      <c r="X563" s="4">
        <v>1</v>
      </c>
      <c r="Y563" s="4">
        <v>88041.32</v>
      </c>
      <c r="Z563" s="4"/>
      <c r="AA563" s="4"/>
      <c r="AB563" s="4"/>
    </row>
    <row r="565" spans="1:245" x14ac:dyDescent="0.2">
      <c r="A565" s="1">
        <v>5</v>
      </c>
      <c r="B565" s="1">
        <v>1</v>
      </c>
      <c r="C565" s="1"/>
      <c r="D565" s="1">
        <f>ROW(A577)</f>
        <v>577</v>
      </c>
      <c r="E565" s="1"/>
      <c r="F565" s="1" t="s">
        <v>14</v>
      </c>
      <c r="G565" s="1" t="s">
        <v>275</v>
      </c>
      <c r="H565" s="1" t="s">
        <v>3</v>
      </c>
      <c r="I565" s="1">
        <v>0</v>
      </c>
      <c r="J565" s="1"/>
      <c r="K565" s="1">
        <v>-1</v>
      </c>
      <c r="L565" s="1"/>
      <c r="M565" s="1" t="s">
        <v>3</v>
      </c>
      <c r="N565" s="1"/>
      <c r="O565" s="1"/>
      <c r="P565" s="1"/>
      <c r="Q565" s="1"/>
      <c r="R565" s="1"/>
      <c r="S565" s="1">
        <v>0</v>
      </c>
      <c r="T565" s="1"/>
      <c r="U565" s="1" t="s">
        <v>3</v>
      </c>
      <c r="V565" s="1">
        <v>0</v>
      </c>
      <c r="W565" s="1"/>
      <c r="X565" s="1"/>
      <c r="Y565" s="1"/>
      <c r="Z565" s="1"/>
      <c r="AA565" s="1"/>
      <c r="AB565" s="1" t="s">
        <v>3</v>
      </c>
      <c r="AC565" s="1" t="s">
        <v>3</v>
      </c>
      <c r="AD565" s="1" t="s">
        <v>3</v>
      </c>
      <c r="AE565" s="1" t="s">
        <v>3</v>
      </c>
      <c r="AF565" s="1" t="s">
        <v>3</v>
      </c>
      <c r="AG565" s="1" t="s">
        <v>3</v>
      </c>
      <c r="AH565" s="1"/>
      <c r="AI565" s="1"/>
      <c r="AJ565" s="1"/>
      <c r="AK565" s="1"/>
      <c r="AL565" s="1"/>
      <c r="AM565" s="1"/>
      <c r="AN565" s="1"/>
      <c r="AO565" s="1"/>
      <c r="AP565" s="1" t="s">
        <v>3</v>
      </c>
      <c r="AQ565" s="1" t="s">
        <v>3</v>
      </c>
      <c r="AR565" s="1" t="s">
        <v>3</v>
      </c>
      <c r="AS565" s="1"/>
      <c r="AT565" s="1"/>
      <c r="AU565" s="1"/>
      <c r="AV565" s="1"/>
      <c r="AW565" s="1"/>
      <c r="AX565" s="1"/>
      <c r="AY565" s="1"/>
      <c r="AZ565" s="1" t="s">
        <v>3</v>
      </c>
      <c r="BA565" s="1"/>
      <c r="BB565" s="1" t="s">
        <v>3</v>
      </c>
      <c r="BC565" s="1" t="s">
        <v>3</v>
      </c>
      <c r="BD565" s="1" t="s">
        <v>3</v>
      </c>
      <c r="BE565" s="1" t="s">
        <v>3</v>
      </c>
      <c r="BF565" s="1" t="s">
        <v>3</v>
      </c>
      <c r="BG565" s="1" t="s">
        <v>3</v>
      </c>
      <c r="BH565" s="1" t="s">
        <v>3</v>
      </c>
      <c r="BI565" s="1" t="s">
        <v>3</v>
      </c>
      <c r="BJ565" s="1" t="s">
        <v>3</v>
      </c>
      <c r="BK565" s="1" t="s">
        <v>3</v>
      </c>
      <c r="BL565" s="1" t="s">
        <v>3</v>
      </c>
      <c r="BM565" s="1" t="s">
        <v>3</v>
      </c>
      <c r="BN565" s="1" t="s">
        <v>3</v>
      </c>
      <c r="BO565" s="1" t="s">
        <v>3</v>
      </c>
      <c r="BP565" s="1" t="s">
        <v>3</v>
      </c>
      <c r="BQ565" s="1"/>
      <c r="BR565" s="1"/>
      <c r="BS565" s="1"/>
      <c r="BT565" s="1"/>
      <c r="BU565" s="1"/>
      <c r="BV565" s="1"/>
      <c r="BW565" s="1"/>
      <c r="BX565" s="1">
        <v>0</v>
      </c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>
        <v>0</v>
      </c>
    </row>
    <row r="567" spans="1:245" x14ac:dyDescent="0.2">
      <c r="A567" s="2">
        <v>52</v>
      </c>
      <c r="B567" s="2">
        <f t="shared" ref="B567:G567" si="284">B577</f>
        <v>1</v>
      </c>
      <c r="C567" s="2">
        <f t="shared" si="284"/>
        <v>5</v>
      </c>
      <c r="D567" s="2">
        <f t="shared" si="284"/>
        <v>565</v>
      </c>
      <c r="E567" s="2">
        <f t="shared" si="284"/>
        <v>0</v>
      </c>
      <c r="F567" s="2" t="str">
        <f t="shared" si="284"/>
        <v>Новый подраздел</v>
      </c>
      <c r="G567" s="2" t="str">
        <f t="shared" si="284"/>
        <v>Осветительная арматура</v>
      </c>
      <c r="H567" s="2"/>
      <c r="I567" s="2"/>
      <c r="J567" s="2"/>
      <c r="K567" s="2"/>
      <c r="L567" s="2"/>
      <c r="M567" s="2"/>
      <c r="N567" s="2"/>
      <c r="O567" s="2">
        <f t="shared" ref="O567:AT567" si="285">O577</f>
        <v>154092.09</v>
      </c>
      <c r="P567" s="2">
        <f t="shared" si="285"/>
        <v>2110.6799999999998</v>
      </c>
      <c r="Q567" s="2">
        <f t="shared" si="285"/>
        <v>130.30000000000001</v>
      </c>
      <c r="R567" s="2">
        <f t="shared" si="285"/>
        <v>82.62</v>
      </c>
      <c r="S567" s="2">
        <f t="shared" si="285"/>
        <v>151851.10999999999</v>
      </c>
      <c r="T567" s="2">
        <f t="shared" si="285"/>
        <v>0</v>
      </c>
      <c r="U567" s="2">
        <f t="shared" si="285"/>
        <v>269.64080000000001</v>
      </c>
      <c r="V567" s="2">
        <f t="shared" si="285"/>
        <v>0</v>
      </c>
      <c r="W567" s="2">
        <f t="shared" si="285"/>
        <v>0</v>
      </c>
      <c r="X567" s="2">
        <f t="shared" si="285"/>
        <v>106295.79</v>
      </c>
      <c r="Y567" s="2">
        <f t="shared" si="285"/>
        <v>15185.12</v>
      </c>
      <c r="Z567" s="2">
        <f t="shared" si="285"/>
        <v>0</v>
      </c>
      <c r="AA567" s="2">
        <f t="shared" si="285"/>
        <v>0</v>
      </c>
      <c r="AB567" s="2">
        <f t="shared" si="285"/>
        <v>154092.09</v>
      </c>
      <c r="AC567" s="2">
        <f t="shared" si="285"/>
        <v>2110.6799999999998</v>
      </c>
      <c r="AD567" s="2">
        <f t="shared" si="285"/>
        <v>130.30000000000001</v>
      </c>
      <c r="AE567" s="2">
        <f t="shared" si="285"/>
        <v>82.62</v>
      </c>
      <c r="AF567" s="2">
        <f t="shared" si="285"/>
        <v>151851.10999999999</v>
      </c>
      <c r="AG567" s="2">
        <f t="shared" si="285"/>
        <v>0</v>
      </c>
      <c r="AH567" s="2">
        <f t="shared" si="285"/>
        <v>269.64080000000001</v>
      </c>
      <c r="AI567" s="2">
        <f t="shared" si="285"/>
        <v>0</v>
      </c>
      <c r="AJ567" s="2">
        <f t="shared" si="285"/>
        <v>0</v>
      </c>
      <c r="AK567" s="2">
        <f t="shared" si="285"/>
        <v>106295.79</v>
      </c>
      <c r="AL567" s="2">
        <f t="shared" si="285"/>
        <v>15185.12</v>
      </c>
      <c r="AM567" s="2">
        <f t="shared" si="285"/>
        <v>0</v>
      </c>
      <c r="AN567" s="2">
        <f t="shared" si="285"/>
        <v>0</v>
      </c>
      <c r="AO567" s="2">
        <f t="shared" si="285"/>
        <v>0</v>
      </c>
      <c r="AP567" s="2">
        <f t="shared" si="285"/>
        <v>0</v>
      </c>
      <c r="AQ567" s="2">
        <f t="shared" si="285"/>
        <v>0</v>
      </c>
      <c r="AR567" s="2">
        <f t="shared" si="285"/>
        <v>275662.23</v>
      </c>
      <c r="AS567" s="2">
        <f t="shared" si="285"/>
        <v>0</v>
      </c>
      <c r="AT567" s="2">
        <f t="shared" si="285"/>
        <v>0</v>
      </c>
      <c r="AU567" s="2">
        <f t="shared" ref="AU567:BZ567" si="286">AU577</f>
        <v>275662.23</v>
      </c>
      <c r="AV567" s="2">
        <f t="shared" si="286"/>
        <v>2110.6799999999998</v>
      </c>
      <c r="AW567" s="2">
        <f t="shared" si="286"/>
        <v>2110.6799999999998</v>
      </c>
      <c r="AX567" s="2">
        <f t="shared" si="286"/>
        <v>0</v>
      </c>
      <c r="AY567" s="2">
        <f t="shared" si="286"/>
        <v>2110.6799999999998</v>
      </c>
      <c r="AZ567" s="2">
        <f t="shared" si="286"/>
        <v>0</v>
      </c>
      <c r="BA567" s="2">
        <f t="shared" si="286"/>
        <v>0</v>
      </c>
      <c r="BB567" s="2">
        <f t="shared" si="286"/>
        <v>0</v>
      </c>
      <c r="BC567" s="2">
        <f t="shared" si="286"/>
        <v>0</v>
      </c>
      <c r="BD567" s="2">
        <f t="shared" si="286"/>
        <v>0</v>
      </c>
      <c r="BE567" s="2">
        <f t="shared" si="286"/>
        <v>0</v>
      </c>
      <c r="BF567" s="2">
        <f t="shared" si="286"/>
        <v>0</v>
      </c>
      <c r="BG567" s="2">
        <f t="shared" si="286"/>
        <v>0</v>
      </c>
      <c r="BH567" s="2">
        <f t="shared" si="286"/>
        <v>0</v>
      </c>
      <c r="BI567" s="2">
        <f t="shared" si="286"/>
        <v>0</v>
      </c>
      <c r="BJ567" s="2">
        <f t="shared" si="286"/>
        <v>0</v>
      </c>
      <c r="BK567" s="2">
        <f t="shared" si="286"/>
        <v>0</v>
      </c>
      <c r="BL567" s="2">
        <f t="shared" si="286"/>
        <v>0</v>
      </c>
      <c r="BM567" s="2">
        <f t="shared" si="286"/>
        <v>0</v>
      </c>
      <c r="BN567" s="2">
        <f t="shared" si="286"/>
        <v>0</v>
      </c>
      <c r="BO567" s="2">
        <f t="shared" si="286"/>
        <v>0</v>
      </c>
      <c r="BP567" s="2">
        <f t="shared" si="286"/>
        <v>0</v>
      </c>
      <c r="BQ567" s="2">
        <f t="shared" si="286"/>
        <v>0</v>
      </c>
      <c r="BR567" s="2">
        <f t="shared" si="286"/>
        <v>0</v>
      </c>
      <c r="BS567" s="2">
        <f t="shared" si="286"/>
        <v>0</v>
      </c>
      <c r="BT567" s="2">
        <f t="shared" si="286"/>
        <v>0</v>
      </c>
      <c r="BU567" s="2">
        <f t="shared" si="286"/>
        <v>0</v>
      </c>
      <c r="BV567" s="2">
        <f t="shared" si="286"/>
        <v>0</v>
      </c>
      <c r="BW567" s="2">
        <f t="shared" si="286"/>
        <v>0</v>
      </c>
      <c r="BX567" s="2">
        <f t="shared" si="286"/>
        <v>0</v>
      </c>
      <c r="BY567" s="2">
        <f t="shared" si="286"/>
        <v>0</v>
      </c>
      <c r="BZ567" s="2">
        <f t="shared" si="286"/>
        <v>0</v>
      </c>
      <c r="CA567" s="2">
        <f t="shared" ref="CA567:DF567" si="287">CA577</f>
        <v>275662.23</v>
      </c>
      <c r="CB567" s="2">
        <f t="shared" si="287"/>
        <v>0</v>
      </c>
      <c r="CC567" s="2">
        <f t="shared" si="287"/>
        <v>0</v>
      </c>
      <c r="CD567" s="2">
        <f t="shared" si="287"/>
        <v>275662.23</v>
      </c>
      <c r="CE567" s="2">
        <f t="shared" si="287"/>
        <v>2110.6799999999998</v>
      </c>
      <c r="CF567" s="2">
        <f t="shared" si="287"/>
        <v>2110.6799999999998</v>
      </c>
      <c r="CG567" s="2">
        <f t="shared" si="287"/>
        <v>0</v>
      </c>
      <c r="CH567" s="2">
        <f t="shared" si="287"/>
        <v>2110.6799999999998</v>
      </c>
      <c r="CI567" s="2">
        <f t="shared" si="287"/>
        <v>0</v>
      </c>
      <c r="CJ567" s="2">
        <f t="shared" si="287"/>
        <v>0</v>
      </c>
      <c r="CK567" s="2">
        <f t="shared" si="287"/>
        <v>0</v>
      </c>
      <c r="CL567" s="2">
        <f t="shared" si="287"/>
        <v>0</v>
      </c>
      <c r="CM567" s="2">
        <f t="shared" si="287"/>
        <v>0</v>
      </c>
      <c r="CN567" s="2">
        <f t="shared" si="287"/>
        <v>0</v>
      </c>
      <c r="CO567" s="2">
        <f t="shared" si="287"/>
        <v>0</v>
      </c>
      <c r="CP567" s="2">
        <f t="shared" si="287"/>
        <v>0</v>
      </c>
      <c r="CQ567" s="2">
        <f t="shared" si="287"/>
        <v>0</v>
      </c>
      <c r="CR567" s="2">
        <f t="shared" si="287"/>
        <v>0</v>
      </c>
      <c r="CS567" s="2">
        <f t="shared" si="287"/>
        <v>0</v>
      </c>
      <c r="CT567" s="2">
        <f t="shared" si="287"/>
        <v>0</v>
      </c>
      <c r="CU567" s="2">
        <f t="shared" si="287"/>
        <v>0</v>
      </c>
      <c r="CV567" s="2">
        <f t="shared" si="287"/>
        <v>0</v>
      </c>
      <c r="CW567" s="2">
        <f t="shared" si="287"/>
        <v>0</v>
      </c>
      <c r="CX567" s="2">
        <f t="shared" si="287"/>
        <v>0</v>
      </c>
      <c r="CY567" s="2">
        <f t="shared" si="287"/>
        <v>0</v>
      </c>
      <c r="CZ567" s="2">
        <f t="shared" si="287"/>
        <v>0</v>
      </c>
      <c r="DA567" s="2">
        <f t="shared" si="287"/>
        <v>0</v>
      </c>
      <c r="DB567" s="2">
        <f t="shared" si="287"/>
        <v>0</v>
      </c>
      <c r="DC567" s="2">
        <f t="shared" si="287"/>
        <v>0</v>
      </c>
      <c r="DD567" s="2">
        <f t="shared" si="287"/>
        <v>0</v>
      </c>
      <c r="DE567" s="2">
        <f t="shared" si="287"/>
        <v>0</v>
      </c>
      <c r="DF567" s="2">
        <f t="shared" si="287"/>
        <v>0</v>
      </c>
      <c r="DG567" s="3">
        <f t="shared" ref="DG567:EL567" si="288">DG577</f>
        <v>0</v>
      </c>
      <c r="DH567" s="3">
        <f t="shared" si="288"/>
        <v>0</v>
      </c>
      <c r="DI567" s="3">
        <f t="shared" si="288"/>
        <v>0</v>
      </c>
      <c r="DJ567" s="3">
        <f t="shared" si="288"/>
        <v>0</v>
      </c>
      <c r="DK567" s="3">
        <f t="shared" si="288"/>
        <v>0</v>
      </c>
      <c r="DL567" s="3">
        <f t="shared" si="288"/>
        <v>0</v>
      </c>
      <c r="DM567" s="3">
        <f t="shared" si="288"/>
        <v>0</v>
      </c>
      <c r="DN567" s="3">
        <f t="shared" si="288"/>
        <v>0</v>
      </c>
      <c r="DO567" s="3">
        <f t="shared" si="288"/>
        <v>0</v>
      </c>
      <c r="DP567" s="3">
        <f t="shared" si="288"/>
        <v>0</v>
      </c>
      <c r="DQ567" s="3">
        <f t="shared" si="288"/>
        <v>0</v>
      </c>
      <c r="DR567" s="3">
        <f t="shared" si="288"/>
        <v>0</v>
      </c>
      <c r="DS567" s="3">
        <f t="shared" si="288"/>
        <v>0</v>
      </c>
      <c r="DT567" s="3">
        <f t="shared" si="288"/>
        <v>0</v>
      </c>
      <c r="DU567" s="3">
        <f t="shared" si="288"/>
        <v>0</v>
      </c>
      <c r="DV567" s="3">
        <f t="shared" si="288"/>
        <v>0</v>
      </c>
      <c r="DW567" s="3">
        <f t="shared" si="288"/>
        <v>0</v>
      </c>
      <c r="DX567" s="3">
        <f t="shared" si="288"/>
        <v>0</v>
      </c>
      <c r="DY567" s="3">
        <f t="shared" si="288"/>
        <v>0</v>
      </c>
      <c r="DZ567" s="3">
        <f t="shared" si="288"/>
        <v>0</v>
      </c>
      <c r="EA567" s="3">
        <f t="shared" si="288"/>
        <v>0</v>
      </c>
      <c r="EB567" s="3">
        <f t="shared" si="288"/>
        <v>0</v>
      </c>
      <c r="EC567" s="3">
        <f t="shared" si="288"/>
        <v>0</v>
      </c>
      <c r="ED567" s="3">
        <f t="shared" si="288"/>
        <v>0</v>
      </c>
      <c r="EE567" s="3">
        <f t="shared" si="288"/>
        <v>0</v>
      </c>
      <c r="EF567" s="3">
        <f t="shared" si="288"/>
        <v>0</v>
      </c>
      <c r="EG567" s="3">
        <f t="shared" si="288"/>
        <v>0</v>
      </c>
      <c r="EH567" s="3">
        <f t="shared" si="288"/>
        <v>0</v>
      </c>
      <c r="EI567" s="3">
        <f t="shared" si="288"/>
        <v>0</v>
      </c>
      <c r="EJ567" s="3">
        <f t="shared" si="288"/>
        <v>0</v>
      </c>
      <c r="EK567" s="3">
        <f t="shared" si="288"/>
        <v>0</v>
      </c>
      <c r="EL567" s="3">
        <f t="shared" si="288"/>
        <v>0</v>
      </c>
      <c r="EM567" s="3">
        <f t="shared" ref="EM567:FR567" si="289">EM577</f>
        <v>0</v>
      </c>
      <c r="EN567" s="3">
        <f t="shared" si="289"/>
        <v>0</v>
      </c>
      <c r="EO567" s="3">
        <f t="shared" si="289"/>
        <v>0</v>
      </c>
      <c r="EP567" s="3">
        <f t="shared" si="289"/>
        <v>0</v>
      </c>
      <c r="EQ567" s="3">
        <f t="shared" si="289"/>
        <v>0</v>
      </c>
      <c r="ER567" s="3">
        <f t="shared" si="289"/>
        <v>0</v>
      </c>
      <c r="ES567" s="3">
        <f t="shared" si="289"/>
        <v>0</v>
      </c>
      <c r="ET567" s="3">
        <f t="shared" si="289"/>
        <v>0</v>
      </c>
      <c r="EU567" s="3">
        <f t="shared" si="289"/>
        <v>0</v>
      </c>
      <c r="EV567" s="3">
        <f t="shared" si="289"/>
        <v>0</v>
      </c>
      <c r="EW567" s="3">
        <f t="shared" si="289"/>
        <v>0</v>
      </c>
      <c r="EX567" s="3">
        <f t="shared" si="289"/>
        <v>0</v>
      </c>
      <c r="EY567" s="3">
        <f t="shared" si="289"/>
        <v>0</v>
      </c>
      <c r="EZ567" s="3">
        <f t="shared" si="289"/>
        <v>0</v>
      </c>
      <c r="FA567" s="3">
        <f t="shared" si="289"/>
        <v>0</v>
      </c>
      <c r="FB567" s="3">
        <f t="shared" si="289"/>
        <v>0</v>
      </c>
      <c r="FC567" s="3">
        <f t="shared" si="289"/>
        <v>0</v>
      </c>
      <c r="FD567" s="3">
        <f t="shared" si="289"/>
        <v>0</v>
      </c>
      <c r="FE567" s="3">
        <f t="shared" si="289"/>
        <v>0</v>
      </c>
      <c r="FF567" s="3">
        <f t="shared" si="289"/>
        <v>0</v>
      </c>
      <c r="FG567" s="3">
        <f t="shared" si="289"/>
        <v>0</v>
      </c>
      <c r="FH567" s="3">
        <f t="shared" si="289"/>
        <v>0</v>
      </c>
      <c r="FI567" s="3">
        <f t="shared" si="289"/>
        <v>0</v>
      </c>
      <c r="FJ567" s="3">
        <f t="shared" si="289"/>
        <v>0</v>
      </c>
      <c r="FK567" s="3">
        <f t="shared" si="289"/>
        <v>0</v>
      </c>
      <c r="FL567" s="3">
        <f t="shared" si="289"/>
        <v>0</v>
      </c>
      <c r="FM567" s="3">
        <f t="shared" si="289"/>
        <v>0</v>
      </c>
      <c r="FN567" s="3">
        <f t="shared" si="289"/>
        <v>0</v>
      </c>
      <c r="FO567" s="3">
        <f t="shared" si="289"/>
        <v>0</v>
      </c>
      <c r="FP567" s="3">
        <f t="shared" si="289"/>
        <v>0</v>
      </c>
      <c r="FQ567" s="3">
        <f t="shared" si="289"/>
        <v>0</v>
      </c>
      <c r="FR567" s="3">
        <f t="shared" si="289"/>
        <v>0</v>
      </c>
      <c r="FS567" s="3">
        <f t="shared" ref="FS567:GX567" si="290">FS577</f>
        <v>0</v>
      </c>
      <c r="FT567" s="3">
        <f t="shared" si="290"/>
        <v>0</v>
      </c>
      <c r="FU567" s="3">
        <f t="shared" si="290"/>
        <v>0</v>
      </c>
      <c r="FV567" s="3">
        <f t="shared" si="290"/>
        <v>0</v>
      </c>
      <c r="FW567" s="3">
        <f t="shared" si="290"/>
        <v>0</v>
      </c>
      <c r="FX567" s="3">
        <f t="shared" si="290"/>
        <v>0</v>
      </c>
      <c r="FY567" s="3">
        <f t="shared" si="290"/>
        <v>0</v>
      </c>
      <c r="FZ567" s="3">
        <f t="shared" si="290"/>
        <v>0</v>
      </c>
      <c r="GA567" s="3">
        <f t="shared" si="290"/>
        <v>0</v>
      </c>
      <c r="GB567" s="3">
        <f t="shared" si="290"/>
        <v>0</v>
      </c>
      <c r="GC567" s="3">
        <f t="shared" si="290"/>
        <v>0</v>
      </c>
      <c r="GD567" s="3">
        <f t="shared" si="290"/>
        <v>0</v>
      </c>
      <c r="GE567" s="3">
        <f t="shared" si="290"/>
        <v>0</v>
      </c>
      <c r="GF567" s="3">
        <f t="shared" si="290"/>
        <v>0</v>
      </c>
      <c r="GG567" s="3">
        <f t="shared" si="290"/>
        <v>0</v>
      </c>
      <c r="GH567" s="3">
        <f t="shared" si="290"/>
        <v>0</v>
      </c>
      <c r="GI567" s="3">
        <f t="shared" si="290"/>
        <v>0</v>
      </c>
      <c r="GJ567" s="3">
        <f t="shared" si="290"/>
        <v>0</v>
      </c>
      <c r="GK567" s="3">
        <f t="shared" si="290"/>
        <v>0</v>
      </c>
      <c r="GL567" s="3">
        <f t="shared" si="290"/>
        <v>0</v>
      </c>
      <c r="GM567" s="3">
        <f t="shared" si="290"/>
        <v>0</v>
      </c>
      <c r="GN567" s="3">
        <f t="shared" si="290"/>
        <v>0</v>
      </c>
      <c r="GO567" s="3">
        <f t="shared" si="290"/>
        <v>0</v>
      </c>
      <c r="GP567" s="3">
        <f t="shared" si="290"/>
        <v>0</v>
      </c>
      <c r="GQ567" s="3">
        <f t="shared" si="290"/>
        <v>0</v>
      </c>
      <c r="GR567" s="3">
        <f t="shared" si="290"/>
        <v>0</v>
      </c>
      <c r="GS567" s="3">
        <f t="shared" si="290"/>
        <v>0</v>
      </c>
      <c r="GT567" s="3">
        <f t="shared" si="290"/>
        <v>0</v>
      </c>
      <c r="GU567" s="3">
        <f t="shared" si="290"/>
        <v>0</v>
      </c>
      <c r="GV567" s="3">
        <f t="shared" si="290"/>
        <v>0</v>
      </c>
      <c r="GW567" s="3">
        <f t="shared" si="290"/>
        <v>0</v>
      </c>
      <c r="GX567" s="3">
        <f t="shared" si="290"/>
        <v>0</v>
      </c>
    </row>
    <row r="569" spans="1:245" x14ac:dyDescent="0.2">
      <c r="A569">
        <v>17</v>
      </c>
      <c r="B569">
        <v>1</v>
      </c>
      <c r="C569">
        <f>ROW(SmtRes!A113)</f>
        <v>113</v>
      </c>
      <c r="D569">
        <f>ROW(EtalonRes!A198)</f>
        <v>198</v>
      </c>
      <c r="E569" t="s">
        <v>276</v>
      </c>
      <c r="F569" t="s">
        <v>277</v>
      </c>
      <c r="G569" t="s">
        <v>507</v>
      </c>
      <c r="H569" t="s">
        <v>18</v>
      </c>
      <c r="I569">
        <v>270</v>
      </c>
      <c r="J569">
        <v>0</v>
      </c>
      <c r="K569">
        <v>270</v>
      </c>
      <c r="O569">
        <f t="shared" ref="O569:O575" si="291">ROUND(CP569,2)</f>
        <v>28754.35</v>
      </c>
      <c r="P569">
        <f t="shared" ref="P569:P575" si="292">ROUND(CQ569*I569,2)</f>
        <v>340.2</v>
      </c>
      <c r="Q569">
        <f t="shared" ref="Q569:Q575" si="293">ROUND(CR569*I569,2)</f>
        <v>0</v>
      </c>
      <c r="R569">
        <f t="shared" ref="R569:R575" si="294">ROUND(CS569*I569,2)</f>
        <v>0</v>
      </c>
      <c r="S569">
        <f t="shared" ref="S569:S575" si="295">ROUND(CT569*I569,2)</f>
        <v>28414.15</v>
      </c>
      <c r="T569">
        <f t="shared" ref="T569:T575" si="296">ROUND(CU569*I569,2)</f>
        <v>0</v>
      </c>
      <c r="U569">
        <f t="shared" ref="U569:U575" si="297">CV569*I569</f>
        <v>50.544000000000004</v>
      </c>
      <c r="V569">
        <f t="shared" ref="V569:V575" si="298">CW569*I569</f>
        <v>0</v>
      </c>
      <c r="W569">
        <f t="shared" ref="W569:W575" si="299">ROUND(CX569*I569,2)</f>
        <v>0</v>
      </c>
      <c r="X569">
        <f t="shared" ref="X569:Y575" si="300">ROUND(CY569,2)</f>
        <v>19889.91</v>
      </c>
      <c r="Y569">
        <f t="shared" si="300"/>
        <v>2841.42</v>
      </c>
      <c r="AA569">
        <v>1473080740</v>
      </c>
      <c r="AB569">
        <f t="shared" ref="AB569:AB575" si="301">ROUND((AC569+AD569+AF569),6)</f>
        <v>106.49760000000001</v>
      </c>
      <c r="AC569">
        <f>ROUND((ES569),6)</f>
        <v>1.26</v>
      </c>
      <c r="AD569">
        <f>ROUND((((ET569)-(EU569))+AE569),6)</f>
        <v>0</v>
      </c>
      <c r="AE569">
        <f>ROUND((EU569),6)</f>
        <v>0</v>
      </c>
      <c r="AF569">
        <f>ROUND(((EV569*1.04)),6)</f>
        <v>105.2376</v>
      </c>
      <c r="AG569">
        <f t="shared" ref="AG569:AG575" si="302">ROUND((AP569),6)</f>
        <v>0</v>
      </c>
      <c r="AH569">
        <f>((EW569*1.04))</f>
        <v>0.18720000000000001</v>
      </c>
      <c r="AI569">
        <f>(EX569)</f>
        <v>0</v>
      </c>
      <c r="AJ569">
        <f t="shared" ref="AJ569:AJ575" si="303">(AS569)</f>
        <v>0</v>
      </c>
      <c r="AK569">
        <v>102.45</v>
      </c>
      <c r="AL569">
        <v>1.26</v>
      </c>
      <c r="AM569">
        <v>0</v>
      </c>
      <c r="AN569">
        <v>0</v>
      </c>
      <c r="AO569">
        <v>101.19</v>
      </c>
      <c r="AP569">
        <v>0</v>
      </c>
      <c r="AQ569">
        <v>0.18</v>
      </c>
      <c r="AR569">
        <v>0</v>
      </c>
      <c r="AS569">
        <v>0</v>
      </c>
      <c r="AT569">
        <v>70</v>
      </c>
      <c r="AU569">
        <v>10</v>
      </c>
      <c r="AV569">
        <v>1</v>
      </c>
      <c r="AW569">
        <v>1</v>
      </c>
      <c r="AZ569">
        <v>1</v>
      </c>
      <c r="BA569">
        <v>1</v>
      </c>
      <c r="BB569">
        <v>1</v>
      </c>
      <c r="BC569">
        <v>1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4</v>
      </c>
      <c r="BJ569" t="s">
        <v>278</v>
      </c>
      <c r="BM569">
        <v>0</v>
      </c>
      <c r="BN569">
        <v>0</v>
      </c>
      <c r="BO569" t="s">
        <v>3</v>
      </c>
      <c r="BP569">
        <v>0</v>
      </c>
      <c r="BQ569">
        <v>1</v>
      </c>
      <c r="BR569">
        <v>0</v>
      </c>
      <c r="BS569">
        <v>1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70</v>
      </c>
      <c r="CA569">
        <v>10</v>
      </c>
      <c r="CB569" t="s">
        <v>3</v>
      </c>
      <c r="CE569">
        <v>0</v>
      </c>
      <c r="CF569">
        <v>0</v>
      </c>
      <c r="CG569">
        <v>0</v>
      </c>
      <c r="CM569">
        <v>0</v>
      </c>
      <c r="CN569" t="s">
        <v>279</v>
      </c>
      <c r="CO569">
        <v>0</v>
      </c>
      <c r="CP569">
        <f t="shared" ref="CP569:CP575" si="304">(P569+Q569+S569)</f>
        <v>28754.350000000002</v>
      </c>
      <c r="CQ569">
        <f t="shared" ref="CQ569:CQ575" si="305">(AC569*BC569*AW569)</f>
        <v>1.26</v>
      </c>
      <c r="CR569">
        <f>((((ET569)*BB569-(EU569)*BS569)+AE569*BS569)*AV569)</f>
        <v>0</v>
      </c>
      <c r="CS569">
        <f t="shared" ref="CS569:CS575" si="306">(AE569*BS569*AV569)</f>
        <v>0</v>
      </c>
      <c r="CT569">
        <f t="shared" ref="CT569:CT575" si="307">(AF569*BA569*AV569)</f>
        <v>105.2376</v>
      </c>
      <c r="CU569">
        <f t="shared" ref="CU569:CU575" si="308">AG569</f>
        <v>0</v>
      </c>
      <c r="CV569">
        <f t="shared" ref="CV569:CV575" si="309">(AH569*AV569)</f>
        <v>0.18720000000000001</v>
      </c>
      <c r="CW569">
        <f t="shared" ref="CW569:CX575" si="310">AI569</f>
        <v>0</v>
      </c>
      <c r="CX569">
        <f t="shared" si="310"/>
        <v>0</v>
      </c>
      <c r="CY569">
        <f t="shared" ref="CY569:CY575" si="311">((S569*BZ569)/100)</f>
        <v>19889.904999999999</v>
      </c>
      <c r="CZ569">
        <f t="shared" ref="CZ569:CZ575" si="312">((S569*CA569)/100)</f>
        <v>2841.415</v>
      </c>
      <c r="DB569">
        <v>1</v>
      </c>
      <c r="DC569" t="s">
        <v>3</v>
      </c>
      <c r="DD569" t="s">
        <v>3</v>
      </c>
      <c r="DE569" t="s">
        <v>3</v>
      </c>
      <c r="DF569" t="s">
        <v>3</v>
      </c>
      <c r="DG569" t="s">
        <v>280</v>
      </c>
      <c r="DH569" t="s">
        <v>3</v>
      </c>
      <c r="DI569" t="s">
        <v>280</v>
      </c>
      <c r="DJ569" t="s">
        <v>3</v>
      </c>
      <c r="DK569" t="s">
        <v>3</v>
      </c>
      <c r="DL569" t="s">
        <v>3</v>
      </c>
      <c r="DM569" t="s">
        <v>3</v>
      </c>
      <c r="DN569">
        <v>0</v>
      </c>
      <c r="DO569">
        <v>0</v>
      </c>
      <c r="DP569">
        <v>1</v>
      </c>
      <c r="DQ569">
        <v>1</v>
      </c>
      <c r="DU569">
        <v>16987630</v>
      </c>
      <c r="DV569" t="s">
        <v>18</v>
      </c>
      <c r="DW569" t="s">
        <v>18</v>
      </c>
      <c r="DX569">
        <v>1</v>
      </c>
      <c r="DZ569" t="s">
        <v>3</v>
      </c>
      <c r="EA569" t="s">
        <v>3</v>
      </c>
      <c r="EB569" t="s">
        <v>3</v>
      </c>
      <c r="EC569" t="s">
        <v>3</v>
      </c>
      <c r="EE569">
        <v>1441815344</v>
      </c>
      <c r="EF569">
        <v>1</v>
      </c>
      <c r="EG569" t="s">
        <v>21</v>
      </c>
      <c r="EH569">
        <v>0</v>
      </c>
      <c r="EI569" t="s">
        <v>3</v>
      </c>
      <c r="EJ569">
        <v>4</v>
      </c>
      <c r="EK569">
        <v>0</v>
      </c>
      <c r="EL569" t="s">
        <v>22</v>
      </c>
      <c r="EM569" t="s">
        <v>23</v>
      </c>
      <c r="EO569" t="s">
        <v>281</v>
      </c>
      <c r="EQ569">
        <v>0</v>
      </c>
      <c r="ER569">
        <v>102.45</v>
      </c>
      <c r="ES569">
        <v>1.26</v>
      </c>
      <c r="ET569">
        <v>0</v>
      </c>
      <c r="EU569">
        <v>0</v>
      </c>
      <c r="EV569">
        <v>101.19</v>
      </c>
      <c r="EW569">
        <v>0.18</v>
      </c>
      <c r="EX569">
        <v>0</v>
      </c>
      <c r="EY569">
        <v>0</v>
      </c>
      <c r="FQ569">
        <v>0</v>
      </c>
      <c r="FR569">
        <f t="shared" ref="FR569:FR575" si="313">ROUND(IF(BI569=3,GM569,0),2)</f>
        <v>0</v>
      </c>
      <c r="FS569">
        <v>0</v>
      </c>
      <c r="FX569">
        <v>70</v>
      </c>
      <c r="FY569">
        <v>10</v>
      </c>
      <c r="GA569" t="s">
        <v>3</v>
      </c>
      <c r="GD569">
        <v>0</v>
      </c>
      <c r="GF569">
        <v>-1287321010</v>
      </c>
      <c r="GG569">
        <v>2</v>
      </c>
      <c r="GH569">
        <v>1</v>
      </c>
      <c r="GI569">
        <v>-2</v>
      </c>
      <c r="GJ569">
        <v>0</v>
      </c>
      <c r="GK569">
        <f>ROUND(R569*(R12)/100,2)</f>
        <v>0</v>
      </c>
      <c r="GL569">
        <f t="shared" ref="GL569:GL575" si="314">ROUND(IF(AND(BH569=3,BI569=3,FS569&lt;&gt;0),P569,0),2)</f>
        <v>0</v>
      </c>
      <c r="GM569">
        <f t="shared" ref="GM569:GM575" si="315">ROUND(O569+X569+Y569+GK569,2)+GX569</f>
        <v>51485.68</v>
      </c>
      <c r="GN569">
        <f t="shared" ref="GN569:GN575" si="316">IF(OR(BI569=0,BI569=1),GM569-GX569,0)</f>
        <v>0</v>
      </c>
      <c r="GO569">
        <f t="shared" ref="GO569:GO575" si="317">IF(BI569=2,GM569-GX569,0)</f>
        <v>0</v>
      </c>
      <c r="GP569">
        <f t="shared" ref="GP569:GP575" si="318">IF(BI569=4,GM569-GX569,0)</f>
        <v>51485.68</v>
      </c>
      <c r="GR569">
        <v>0</v>
      </c>
      <c r="GS569">
        <v>3</v>
      </c>
      <c r="GT569">
        <v>0</v>
      </c>
      <c r="GU569" t="s">
        <v>3</v>
      </c>
      <c r="GV569">
        <f t="shared" ref="GV569:GV575" si="319">ROUND((GT569),6)</f>
        <v>0</v>
      </c>
      <c r="GW569">
        <v>1</v>
      </c>
      <c r="GX569">
        <f t="shared" ref="GX569:GX575" si="320">ROUND(HC569*I569,2)</f>
        <v>0</v>
      </c>
      <c r="HA569">
        <v>0</v>
      </c>
      <c r="HB569">
        <v>0</v>
      </c>
      <c r="HC569">
        <f t="shared" ref="HC569:HC575" si="321">GV569*GW569</f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1</v>
      </c>
      <c r="C570">
        <f>ROW(SmtRes!A115)</f>
        <v>115</v>
      </c>
      <c r="D570">
        <f>ROW(EtalonRes!A200)</f>
        <v>200</v>
      </c>
      <c r="E570" t="s">
        <v>282</v>
      </c>
      <c r="F570" t="s">
        <v>283</v>
      </c>
      <c r="G570" t="s">
        <v>508</v>
      </c>
      <c r="H570" t="s">
        <v>18</v>
      </c>
      <c r="I570">
        <f>ROUND(10+2,9)</f>
        <v>12</v>
      </c>
      <c r="J570">
        <v>0</v>
      </c>
      <c r="K570">
        <f>ROUND(10+2,9)</f>
        <v>12</v>
      </c>
      <c r="O570">
        <f t="shared" si="291"/>
        <v>1281.69</v>
      </c>
      <c r="P570">
        <f t="shared" si="292"/>
        <v>18.84</v>
      </c>
      <c r="Q570">
        <f t="shared" si="293"/>
        <v>0</v>
      </c>
      <c r="R570">
        <f t="shared" si="294"/>
        <v>0</v>
      </c>
      <c r="S570">
        <f t="shared" si="295"/>
        <v>1262.8499999999999</v>
      </c>
      <c r="T570">
        <f t="shared" si="296"/>
        <v>0</v>
      </c>
      <c r="U570">
        <f t="shared" si="297"/>
        <v>2.2464</v>
      </c>
      <c r="V570">
        <f t="shared" si="298"/>
        <v>0</v>
      </c>
      <c r="W570">
        <f t="shared" si="299"/>
        <v>0</v>
      </c>
      <c r="X570">
        <f t="shared" si="300"/>
        <v>884</v>
      </c>
      <c r="Y570">
        <f t="shared" si="300"/>
        <v>126.29</v>
      </c>
      <c r="AA570">
        <v>1473080740</v>
      </c>
      <c r="AB570">
        <f t="shared" si="301"/>
        <v>106.80759999999999</v>
      </c>
      <c r="AC570">
        <f>ROUND((ES570),6)</f>
        <v>1.57</v>
      </c>
      <c r="AD570">
        <f>ROUND((((ET570)-(EU570))+AE570),6)</f>
        <v>0</v>
      </c>
      <c r="AE570">
        <f>ROUND((EU570),6)</f>
        <v>0</v>
      </c>
      <c r="AF570">
        <f>ROUND(((EV570*1.04)),6)</f>
        <v>105.2376</v>
      </c>
      <c r="AG570">
        <f t="shared" si="302"/>
        <v>0</v>
      </c>
      <c r="AH570">
        <f>((EW570*1.04))</f>
        <v>0.18720000000000001</v>
      </c>
      <c r="AI570">
        <f>(EX570)</f>
        <v>0</v>
      </c>
      <c r="AJ570">
        <f t="shared" si="303"/>
        <v>0</v>
      </c>
      <c r="AK570">
        <v>102.76</v>
      </c>
      <c r="AL570">
        <v>1.57</v>
      </c>
      <c r="AM570">
        <v>0</v>
      </c>
      <c r="AN570">
        <v>0</v>
      </c>
      <c r="AO570">
        <v>101.19</v>
      </c>
      <c r="AP570">
        <v>0</v>
      </c>
      <c r="AQ570">
        <v>0.18</v>
      </c>
      <c r="AR570">
        <v>0</v>
      </c>
      <c r="AS570">
        <v>0</v>
      </c>
      <c r="AT570">
        <v>70</v>
      </c>
      <c r="AU570">
        <v>10</v>
      </c>
      <c r="AV570">
        <v>1</v>
      </c>
      <c r="AW570">
        <v>1</v>
      </c>
      <c r="AZ570">
        <v>1</v>
      </c>
      <c r="BA570">
        <v>1</v>
      </c>
      <c r="BB570">
        <v>1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4</v>
      </c>
      <c r="BJ570" t="s">
        <v>284</v>
      </c>
      <c r="BM570">
        <v>0</v>
      </c>
      <c r="BN570">
        <v>0</v>
      </c>
      <c r="BO570" t="s">
        <v>3</v>
      </c>
      <c r="BP570">
        <v>0</v>
      </c>
      <c r="BQ570">
        <v>1</v>
      </c>
      <c r="BR570">
        <v>0</v>
      </c>
      <c r="BS570">
        <v>1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70</v>
      </c>
      <c r="CA570">
        <v>10</v>
      </c>
      <c r="CB570" t="s">
        <v>3</v>
      </c>
      <c r="CE570">
        <v>0</v>
      </c>
      <c r="CF570">
        <v>0</v>
      </c>
      <c r="CG570">
        <v>0</v>
      </c>
      <c r="CM570">
        <v>0</v>
      </c>
      <c r="CN570" t="s">
        <v>279</v>
      </c>
      <c r="CO570">
        <v>0</v>
      </c>
      <c r="CP570">
        <f t="shared" si="304"/>
        <v>1281.6899999999998</v>
      </c>
      <c r="CQ570">
        <f t="shared" si="305"/>
        <v>1.57</v>
      </c>
      <c r="CR570">
        <f>((((ET570)*BB570-(EU570)*BS570)+AE570*BS570)*AV570)</f>
        <v>0</v>
      </c>
      <c r="CS570">
        <f t="shared" si="306"/>
        <v>0</v>
      </c>
      <c r="CT570">
        <f t="shared" si="307"/>
        <v>105.2376</v>
      </c>
      <c r="CU570">
        <f t="shared" si="308"/>
        <v>0</v>
      </c>
      <c r="CV570">
        <f t="shared" si="309"/>
        <v>0.18720000000000001</v>
      </c>
      <c r="CW570">
        <f t="shared" si="310"/>
        <v>0</v>
      </c>
      <c r="CX570">
        <f t="shared" si="310"/>
        <v>0</v>
      </c>
      <c r="CY570">
        <f t="shared" si="311"/>
        <v>883.995</v>
      </c>
      <c r="CZ570">
        <f t="shared" si="312"/>
        <v>126.285</v>
      </c>
      <c r="DB570">
        <v>2</v>
      </c>
      <c r="DC570" t="s">
        <v>3</v>
      </c>
      <c r="DD570" t="s">
        <v>3</v>
      </c>
      <c r="DE570" t="s">
        <v>3</v>
      </c>
      <c r="DF570" t="s">
        <v>3</v>
      </c>
      <c r="DG570" t="s">
        <v>280</v>
      </c>
      <c r="DH570" t="s">
        <v>3</v>
      </c>
      <c r="DI570" t="s">
        <v>280</v>
      </c>
      <c r="DJ570" t="s">
        <v>3</v>
      </c>
      <c r="DK570" t="s">
        <v>3</v>
      </c>
      <c r="DL570" t="s">
        <v>3</v>
      </c>
      <c r="DM570" t="s">
        <v>3</v>
      </c>
      <c r="DN570">
        <v>0</v>
      </c>
      <c r="DO570">
        <v>0</v>
      </c>
      <c r="DP570">
        <v>1</v>
      </c>
      <c r="DQ570">
        <v>1</v>
      </c>
      <c r="DU570">
        <v>16987630</v>
      </c>
      <c r="DV570" t="s">
        <v>18</v>
      </c>
      <c r="DW570" t="s">
        <v>18</v>
      </c>
      <c r="DX570">
        <v>1</v>
      </c>
      <c r="DZ570" t="s">
        <v>3</v>
      </c>
      <c r="EA570" t="s">
        <v>3</v>
      </c>
      <c r="EB570" t="s">
        <v>3</v>
      </c>
      <c r="EC570" t="s">
        <v>3</v>
      </c>
      <c r="EE570">
        <v>1441815344</v>
      </c>
      <c r="EF570">
        <v>1</v>
      </c>
      <c r="EG570" t="s">
        <v>21</v>
      </c>
      <c r="EH570">
        <v>0</v>
      </c>
      <c r="EI570" t="s">
        <v>3</v>
      </c>
      <c r="EJ570">
        <v>4</v>
      </c>
      <c r="EK570">
        <v>0</v>
      </c>
      <c r="EL570" t="s">
        <v>22</v>
      </c>
      <c r="EM570" t="s">
        <v>23</v>
      </c>
      <c r="EO570" t="s">
        <v>281</v>
      </c>
      <c r="EQ570">
        <v>0</v>
      </c>
      <c r="ER570">
        <v>102.76</v>
      </c>
      <c r="ES570">
        <v>1.57</v>
      </c>
      <c r="ET570">
        <v>0</v>
      </c>
      <c r="EU570">
        <v>0</v>
      </c>
      <c r="EV570">
        <v>101.19</v>
      </c>
      <c r="EW570">
        <v>0.18</v>
      </c>
      <c r="EX570">
        <v>0</v>
      </c>
      <c r="EY570">
        <v>0</v>
      </c>
      <c r="FQ570">
        <v>0</v>
      </c>
      <c r="FR570">
        <f t="shared" si="313"/>
        <v>0</v>
      </c>
      <c r="FS570">
        <v>0</v>
      </c>
      <c r="FX570">
        <v>70</v>
      </c>
      <c r="FY570">
        <v>10</v>
      </c>
      <c r="GA570" t="s">
        <v>3</v>
      </c>
      <c r="GD570">
        <v>0</v>
      </c>
      <c r="GF570">
        <v>1370097435</v>
      </c>
      <c r="GG570">
        <v>2</v>
      </c>
      <c r="GH570">
        <v>1</v>
      </c>
      <c r="GI570">
        <v>-2</v>
      </c>
      <c r="GJ570">
        <v>0</v>
      </c>
      <c r="GK570">
        <f>ROUND(R570*(R12)/100,2)</f>
        <v>0</v>
      </c>
      <c r="GL570">
        <f t="shared" si="314"/>
        <v>0</v>
      </c>
      <c r="GM570">
        <f t="shared" si="315"/>
        <v>2291.98</v>
      </c>
      <c r="GN570">
        <f t="shared" si="316"/>
        <v>0</v>
      </c>
      <c r="GO570">
        <f t="shared" si="317"/>
        <v>0</v>
      </c>
      <c r="GP570">
        <f t="shared" si="318"/>
        <v>2291.98</v>
      </c>
      <c r="GR570">
        <v>0</v>
      </c>
      <c r="GS570">
        <v>3</v>
      </c>
      <c r="GT570">
        <v>0</v>
      </c>
      <c r="GU570" t="s">
        <v>3</v>
      </c>
      <c r="GV570">
        <f t="shared" si="319"/>
        <v>0</v>
      </c>
      <c r="GW570">
        <v>1</v>
      </c>
      <c r="GX570">
        <f t="shared" si="320"/>
        <v>0</v>
      </c>
      <c r="HA570">
        <v>0</v>
      </c>
      <c r="HB570">
        <v>0</v>
      </c>
      <c r="HC570">
        <f t="shared" si="321"/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1" spans="1:245" x14ac:dyDescent="0.2">
      <c r="A571">
        <v>17</v>
      </c>
      <c r="B571">
        <v>1</v>
      </c>
      <c r="C571">
        <f>ROW(SmtRes!A117)</f>
        <v>117</v>
      </c>
      <c r="D571">
        <f>ROW(EtalonRes!A202)</f>
        <v>202</v>
      </c>
      <c r="E571" t="s">
        <v>285</v>
      </c>
      <c r="F571" t="s">
        <v>286</v>
      </c>
      <c r="G571" t="s">
        <v>287</v>
      </c>
      <c r="H571" t="s">
        <v>18</v>
      </c>
      <c r="I571">
        <f>ROUND(18+12,9)</f>
        <v>30</v>
      </c>
      <c r="J571">
        <v>0</v>
      </c>
      <c r="K571">
        <f>ROUND(18+12,9)</f>
        <v>30</v>
      </c>
      <c r="O571">
        <f t="shared" si="291"/>
        <v>17690.400000000001</v>
      </c>
      <c r="P571">
        <f t="shared" si="292"/>
        <v>151.19999999999999</v>
      </c>
      <c r="Q571">
        <f t="shared" si="293"/>
        <v>0</v>
      </c>
      <c r="R571">
        <f t="shared" si="294"/>
        <v>0</v>
      </c>
      <c r="S571">
        <f t="shared" si="295"/>
        <v>17539.2</v>
      </c>
      <c r="T571">
        <f t="shared" si="296"/>
        <v>0</v>
      </c>
      <c r="U571">
        <f t="shared" si="297"/>
        <v>31.200000000000003</v>
      </c>
      <c r="V571">
        <f t="shared" si="298"/>
        <v>0</v>
      </c>
      <c r="W571">
        <f t="shared" si="299"/>
        <v>0</v>
      </c>
      <c r="X571">
        <f t="shared" si="300"/>
        <v>12277.44</v>
      </c>
      <c r="Y571">
        <f t="shared" si="300"/>
        <v>1753.92</v>
      </c>
      <c r="AA571">
        <v>1473080740</v>
      </c>
      <c r="AB571">
        <f t="shared" si="301"/>
        <v>589.67999999999995</v>
      </c>
      <c r="AC571">
        <f>ROUND(((ES571*4)),6)</f>
        <v>5.04</v>
      </c>
      <c r="AD571">
        <f>ROUND(((((ET571*4))-((EU571*4)))+AE571),6)</f>
        <v>0</v>
      </c>
      <c r="AE571">
        <f>ROUND(((EU571*4)),6)</f>
        <v>0</v>
      </c>
      <c r="AF571">
        <f>ROUND(((EV571*4)),6)</f>
        <v>584.64</v>
      </c>
      <c r="AG571">
        <f t="shared" si="302"/>
        <v>0</v>
      </c>
      <c r="AH571">
        <f>((EW571*4))</f>
        <v>1.04</v>
      </c>
      <c r="AI571">
        <f>((EX571*4))</f>
        <v>0</v>
      </c>
      <c r="AJ571">
        <f t="shared" si="303"/>
        <v>0</v>
      </c>
      <c r="AK571">
        <v>147.41999999999999</v>
      </c>
      <c r="AL571">
        <v>1.26</v>
      </c>
      <c r="AM571">
        <v>0</v>
      </c>
      <c r="AN571">
        <v>0</v>
      </c>
      <c r="AO571">
        <v>146.16</v>
      </c>
      <c r="AP571">
        <v>0</v>
      </c>
      <c r="AQ571">
        <v>0.26</v>
      </c>
      <c r="AR571">
        <v>0</v>
      </c>
      <c r="AS571">
        <v>0</v>
      </c>
      <c r="AT571">
        <v>70</v>
      </c>
      <c r="AU571">
        <v>10</v>
      </c>
      <c r="AV571">
        <v>1</v>
      </c>
      <c r="AW571">
        <v>1</v>
      </c>
      <c r="AZ571">
        <v>1</v>
      </c>
      <c r="BA571">
        <v>1</v>
      </c>
      <c r="BB571">
        <v>1</v>
      </c>
      <c r="BC571">
        <v>1</v>
      </c>
      <c r="BD571" t="s">
        <v>3</v>
      </c>
      <c r="BE571" t="s">
        <v>3</v>
      </c>
      <c r="BF571" t="s">
        <v>3</v>
      </c>
      <c r="BG571" t="s">
        <v>3</v>
      </c>
      <c r="BH571">
        <v>0</v>
      </c>
      <c r="BI571">
        <v>4</v>
      </c>
      <c r="BJ571" t="s">
        <v>288</v>
      </c>
      <c r="BM571">
        <v>0</v>
      </c>
      <c r="BN571">
        <v>0</v>
      </c>
      <c r="BO571" t="s">
        <v>3</v>
      </c>
      <c r="BP571">
        <v>0</v>
      </c>
      <c r="BQ571">
        <v>1</v>
      </c>
      <c r="BR571">
        <v>0</v>
      </c>
      <c r="BS571">
        <v>1</v>
      </c>
      <c r="BT571">
        <v>1</v>
      </c>
      <c r="BU571">
        <v>1</v>
      </c>
      <c r="BV571">
        <v>1</v>
      </c>
      <c r="BW571">
        <v>1</v>
      </c>
      <c r="BX571">
        <v>1</v>
      </c>
      <c r="BY571" t="s">
        <v>3</v>
      </c>
      <c r="BZ571">
        <v>70</v>
      </c>
      <c r="CA571">
        <v>10</v>
      </c>
      <c r="CB571" t="s">
        <v>3</v>
      </c>
      <c r="CE571">
        <v>0</v>
      </c>
      <c r="CF571">
        <v>0</v>
      </c>
      <c r="CG571">
        <v>0</v>
      </c>
      <c r="CM571">
        <v>0</v>
      </c>
      <c r="CN571" t="s">
        <v>3</v>
      </c>
      <c r="CO571">
        <v>0</v>
      </c>
      <c r="CP571">
        <f t="shared" si="304"/>
        <v>17690.400000000001</v>
      </c>
      <c r="CQ571">
        <f t="shared" si="305"/>
        <v>5.04</v>
      </c>
      <c r="CR571">
        <f>(((((ET571*4))*BB571-((EU571*4))*BS571)+AE571*BS571)*AV571)</f>
        <v>0</v>
      </c>
      <c r="CS571">
        <f t="shared" si="306"/>
        <v>0</v>
      </c>
      <c r="CT571">
        <f t="shared" si="307"/>
        <v>584.64</v>
      </c>
      <c r="CU571">
        <f t="shared" si="308"/>
        <v>0</v>
      </c>
      <c r="CV571">
        <f t="shared" si="309"/>
        <v>1.04</v>
      </c>
      <c r="CW571">
        <f t="shared" si="310"/>
        <v>0</v>
      </c>
      <c r="CX571">
        <f t="shared" si="310"/>
        <v>0</v>
      </c>
      <c r="CY571">
        <f t="shared" si="311"/>
        <v>12277.44</v>
      </c>
      <c r="CZ571">
        <f t="shared" si="312"/>
        <v>1753.92</v>
      </c>
      <c r="DC571" t="s">
        <v>3</v>
      </c>
      <c r="DD571" t="s">
        <v>28</v>
      </c>
      <c r="DE571" t="s">
        <v>28</v>
      </c>
      <c r="DF571" t="s">
        <v>28</v>
      </c>
      <c r="DG571" t="s">
        <v>28</v>
      </c>
      <c r="DH571" t="s">
        <v>3</v>
      </c>
      <c r="DI571" t="s">
        <v>28</v>
      </c>
      <c r="DJ571" t="s">
        <v>28</v>
      </c>
      <c r="DK571" t="s">
        <v>3</v>
      </c>
      <c r="DL571" t="s">
        <v>3</v>
      </c>
      <c r="DM571" t="s">
        <v>3</v>
      </c>
      <c r="DN571">
        <v>0</v>
      </c>
      <c r="DO571">
        <v>0</v>
      </c>
      <c r="DP571">
        <v>1</v>
      </c>
      <c r="DQ571">
        <v>1</v>
      </c>
      <c r="DU571">
        <v>16987630</v>
      </c>
      <c r="DV571" t="s">
        <v>18</v>
      </c>
      <c r="DW571" t="s">
        <v>18</v>
      </c>
      <c r="DX571">
        <v>1</v>
      </c>
      <c r="DZ571" t="s">
        <v>3</v>
      </c>
      <c r="EA571" t="s">
        <v>3</v>
      </c>
      <c r="EB571" t="s">
        <v>3</v>
      </c>
      <c r="EC571" t="s">
        <v>3</v>
      </c>
      <c r="EE571">
        <v>1441815344</v>
      </c>
      <c r="EF571">
        <v>1</v>
      </c>
      <c r="EG571" t="s">
        <v>21</v>
      </c>
      <c r="EH571">
        <v>0</v>
      </c>
      <c r="EI571" t="s">
        <v>3</v>
      </c>
      <c r="EJ571">
        <v>4</v>
      </c>
      <c r="EK571">
        <v>0</v>
      </c>
      <c r="EL571" t="s">
        <v>22</v>
      </c>
      <c r="EM571" t="s">
        <v>23</v>
      </c>
      <c r="EO571" t="s">
        <v>3</v>
      </c>
      <c r="EQ571">
        <v>0</v>
      </c>
      <c r="ER571">
        <v>147.41999999999999</v>
      </c>
      <c r="ES571">
        <v>1.26</v>
      </c>
      <c r="ET571">
        <v>0</v>
      </c>
      <c r="EU571">
        <v>0</v>
      </c>
      <c r="EV571">
        <v>146.16</v>
      </c>
      <c r="EW571">
        <v>0.26</v>
      </c>
      <c r="EX571">
        <v>0</v>
      </c>
      <c r="EY571">
        <v>0</v>
      </c>
      <c r="FQ571">
        <v>0</v>
      </c>
      <c r="FR571">
        <f t="shared" si="313"/>
        <v>0</v>
      </c>
      <c r="FS571">
        <v>0</v>
      </c>
      <c r="FX571">
        <v>70</v>
      </c>
      <c r="FY571">
        <v>10</v>
      </c>
      <c r="GA571" t="s">
        <v>3</v>
      </c>
      <c r="GD571">
        <v>0</v>
      </c>
      <c r="GF571">
        <v>1674503205</v>
      </c>
      <c r="GG571">
        <v>2</v>
      </c>
      <c r="GH571">
        <v>1</v>
      </c>
      <c r="GI571">
        <v>-2</v>
      </c>
      <c r="GJ571">
        <v>0</v>
      </c>
      <c r="GK571">
        <f>ROUND(R571*(R12)/100,2)</f>
        <v>0</v>
      </c>
      <c r="GL571">
        <f t="shared" si="314"/>
        <v>0</v>
      </c>
      <c r="GM571">
        <f t="shared" si="315"/>
        <v>31721.759999999998</v>
      </c>
      <c r="GN571">
        <f t="shared" si="316"/>
        <v>0</v>
      </c>
      <c r="GO571">
        <f t="shared" si="317"/>
        <v>0</v>
      </c>
      <c r="GP571">
        <f t="shared" si="318"/>
        <v>31721.759999999998</v>
      </c>
      <c r="GR571">
        <v>0</v>
      </c>
      <c r="GS571">
        <v>3</v>
      </c>
      <c r="GT571">
        <v>0</v>
      </c>
      <c r="GU571" t="s">
        <v>3</v>
      </c>
      <c r="GV571">
        <f t="shared" si="319"/>
        <v>0</v>
      </c>
      <c r="GW571">
        <v>1</v>
      </c>
      <c r="GX571">
        <f t="shared" si="320"/>
        <v>0</v>
      </c>
      <c r="HA571">
        <v>0</v>
      </c>
      <c r="HB571">
        <v>0</v>
      </c>
      <c r="HC571">
        <f t="shared" si="321"/>
        <v>0</v>
      </c>
      <c r="HE571" t="s">
        <v>3</v>
      </c>
      <c r="HF571" t="s">
        <v>3</v>
      </c>
      <c r="HM571" t="s">
        <v>3</v>
      </c>
      <c r="HN571" t="s">
        <v>3</v>
      </c>
      <c r="HO571" t="s">
        <v>3</v>
      </c>
      <c r="HP571" t="s">
        <v>3</v>
      </c>
      <c r="HQ571" t="s">
        <v>3</v>
      </c>
      <c r="IK571">
        <v>0</v>
      </c>
    </row>
    <row r="572" spans="1:245" x14ac:dyDescent="0.2">
      <c r="A572">
        <v>17</v>
      </c>
      <c r="B572">
        <v>1</v>
      </c>
      <c r="C572">
        <f>ROW(SmtRes!A121)</f>
        <v>121</v>
      </c>
      <c r="D572">
        <f>ROW(EtalonRes!A206)</f>
        <v>206</v>
      </c>
      <c r="E572" t="s">
        <v>289</v>
      </c>
      <c r="F572" t="s">
        <v>290</v>
      </c>
      <c r="G572" t="s">
        <v>291</v>
      </c>
      <c r="H572" t="s">
        <v>18</v>
      </c>
      <c r="I572">
        <v>51</v>
      </c>
      <c r="J572">
        <v>0</v>
      </c>
      <c r="K572">
        <v>51</v>
      </c>
      <c r="O572">
        <f t="shared" si="291"/>
        <v>11222.82</v>
      </c>
      <c r="P572">
        <f t="shared" si="292"/>
        <v>488.58</v>
      </c>
      <c r="Q572">
        <f t="shared" si="293"/>
        <v>0</v>
      </c>
      <c r="R572">
        <f t="shared" si="294"/>
        <v>0</v>
      </c>
      <c r="S572">
        <f t="shared" si="295"/>
        <v>10734.24</v>
      </c>
      <c r="T572">
        <f t="shared" si="296"/>
        <v>0</v>
      </c>
      <c r="U572">
        <f t="shared" si="297"/>
        <v>19.0944</v>
      </c>
      <c r="V572">
        <f t="shared" si="298"/>
        <v>0</v>
      </c>
      <c r="W572">
        <f t="shared" si="299"/>
        <v>0</v>
      </c>
      <c r="X572">
        <f t="shared" si="300"/>
        <v>7513.97</v>
      </c>
      <c r="Y572">
        <f t="shared" si="300"/>
        <v>1073.42</v>
      </c>
      <c r="AA572">
        <v>1473080740</v>
      </c>
      <c r="AB572">
        <f t="shared" si="301"/>
        <v>220.05520000000001</v>
      </c>
      <c r="AC572">
        <f>ROUND((ES572),6)</f>
        <v>9.58</v>
      </c>
      <c r="AD572">
        <f>ROUND((((ET572)-(EU572))+AE572),6)</f>
        <v>0</v>
      </c>
      <c r="AE572">
        <f>ROUND((EU572),6)</f>
        <v>0</v>
      </c>
      <c r="AF572">
        <f>ROUND(((EV572*1.04)),6)</f>
        <v>210.4752</v>
      </c>
      <c r="AG572">
        <f t="shared" si="302"/>
        <v>0</v>
      </c>
      <c r="AH572">
        <f>((EW572*1.04))</f>
        <v>0.37440000000000001</v>
      </c>
      <c r="AI572">
        <f>(EX572)</f>
        <v>0</v>
      </c>
      <c r="AJ572">
        <f t="shared" si="303"/>
        <v>0</v>
      </c>
      <c r="AK572">
        <v>211.96</v>
      </c>
      <c r="AL572">
        <v>9.58</v>
      </c>
      <c r="AM572">
        <v>0</v>
      </c>
      <c r="AN572">
        <v>0</v>
      </c>
      <c r="AO572">
        <v>202.38</v>
      </c>
      <c r="AP572">
        <v>0</v>
      </c>
      <c r="AQ572">
        <v>0.36</v>
      </c>
      <c r="AR572">
        <v>0</v>
      </c>
      <c r="AS572">
        <v>0</v>
      </c>
      <c r="AT572">
        <v>70</v>
      </c>
      <c r="AU572">
        <v>10</v>
      </c>
      <c r="AV572">
        <v>1</v>
      </c>
      <c r="AW572">
        <v>1</v>
      </c>
      <c r="AZ572">
        <v>1</v>
      </c>
      <c r="BA572">
        <v>1</v>
      </c>
      <c r="BB572">
        <v>1</v>
      </c>
      <c r="BC572">
        <v>1</v>
      </c>
      <c r="BD572" t="s">
        <v>3</v>
      </c>
      <c r="BE572" t="s">
        <v>3</v>
      </c>
      <c r="BF572" t="s">
        <v>3</v>
      </c>
      <c r="BG572" t="s">
        <v>3</v>
      </c>
      <c r="BH572">
        <v>0</v>
      </c>
      <c r="BI572">
        <v>4</v>
      </c>
      <c r="BJ572" t="s">
        <v>292</v>
      </c>
      <c r="BM572">
        <v>0</v>
      </c>
      <c r="BN572">
        <v>0</v>
      </c>
      <c r="BO572" t="s">
        <v>3</v>
      </c>
      <c r="BP572">
        <v>0</v>
      </c>
      <c r="BQ572">
        <v>1</v>
      </c>
      <c r="BR572">
        <v>0</v>
      </c>
      <c r="BS572">
        <v>1</v>
      </c>
      <c r="BT572">
        <v>1</v>
      </c>
      <c r="BU572">
        <v>1</v>
      </c>
      <c r="BV572">
        <v>1</v>
      </c>
      <c r="BW572">
        <v>1</v>
      </c>
      <c r="BX572">
        <v>1</v>
      </c>
      <c r="BY572" t="s">
        <v>3</v>
      </c>
      <c r="BZ572">
        <v>70</v>
      </c>
      <c r="CA572">
        <v>10</v>
      </c>
      <c r="CB572" t="s">
        <v>3</v>
      </c>
      <c r="CE572">
        <v>0</v>
      </c>
      <c r="CF572">
        <v>0</v>
      </c>
      <c r="CG572">
        <v>0</v>
      </c>
      <c r="CM572">
        <v>0</v>
      </c>
      <c r="CN572" t="s">
        <v>279</v>
      </c>
      <c r="CO572">
        <v>0</v>
      </c>
      <c r="CP572">
        <f t="shared" si="304"/>
        <v>11222.82</v>
      </c>
      <c r="CQ572">
        <f t="shared" si="305"/>
        <v>9.58</v>
      </c>
      <c r="CR572">
        <f>((((ET572)*BB572-(EU572)*BS572)+AE572*BS572)*AV572)</f>
        <v>0</v>
      </c>
      <c r="CS572">
        <f t="shared" si="306"/>
        <v>0</v>
      </c>
      <c r="CT572">
        <f t="shared" si="307"/>
        <v>210.4752</v>
      </c>
      <c r="CU572">
        <f t="shared" si="308"/>
        <v>0</v>
      </c>
      <c r="CV572">
        <f t="shared" si="309"/>
        <v>0.37440000000000001</v>
      </c>
      <c r="CW572">
        <f t="shared" si="310"/>
        <v>0</v>
      </c>
      <c r="CX572">
        <f t="shared" si="310"/>
        <v>0</v>
      </c>
      <c r="CY572">
        <f t="shared" si="311"/>
        <v>7513.9679999999989</v>
      </c>
      <c r="CZ572">
        <f t="shared" si="312"/>
        <v>1073.424</v>
      </c>
      <c r="DC572" t="s">
        <v>3</v>
      </c>
      <c r="DD572" t="s">
        <v>3</v>
      </c>
      <c r="DE572" t="s">
        <v>3</v>
      </c>
      <c r="DF572" t="s">
        <v>3</v>
      </c>
      <c r="DG572" t="s">
        <v>293</v>
      </c>
      <c r="DH572" t="s">
        <v>3</v>
      </c>
      <c r="DI572" t="s">
        <v>293</v>
      </c>
      <c r="DJ572" t="s">
        <v>3</v>
      </c>
      <c r="DK572" t="s">
        <v>3</v>
      </c>
      <c r="DL572" t="s">
        <v>3</v>
      </c>
      <c r="DM572" t="s">
        <v>3</v>
      </c>
      <c r="DN572">
        <v>0</v>
      </c>
      <c r="DO572">
        <v>0</v>
      </c>
      <c r="DP572">
        <v>1</v>
      </c>
      <c r="DQ572">
        <v>1</v>
      </c>
      <c r="DU572">
        <v>16987630</v>
      </c>
      <c r="DV572" t="s">
        <v>18</v>
      </c>
      <c r="DW572" t="s">
        <v>18</v>
      </c>
      <c r="DX572">
        <v>1</v>
      </c>
      <c r="DZ572" t="s">
        <v>3</v>
      </c>
      <c r="EA572" t="s">
        <v>3</v>
      </c>
      <c r="EB572" t="s">
        <v>3</v>
      </c>
      <c r="EC572" t="s">
        <v>3</v>
      </c>
      <c r="EE572">
        <v>1441815344</v>
      </c>
      <c r="EF572">
        <v>1</v>
      </c>
      <c r="EG572" t="s">
        <v>21</v>
      </c>
      <c r="EH572">
        <v>0</v>
      </c>
      <c r="EI572" t="s">
        <v>3</v>
      </c>
      <c r="EJ572">
        <v>4</v>
      </c>
      <c r="EK572">
        <v>0</v>
      </c>
      <c r="EL572" t="s">
        <v>22</v>
      </c>
      <c r="EM572" t="s">
        <v>23</v>
      </c>
      <c r="EO572" t="s">
        <v>281</v>
      </c>
      <c r="EQ572">
        <v>768</v>
      </c>
      <c r="ER572">
        <v>211.96</v>
      </c>
      <c r="ES572">
        <v>9.58</v>
      </c>
      <c r="ET572">
        <v>0</v>
      </c>
      <c r="EU572">
        <v>0</v>
      </c>
      <c r="EV572">
        <v>202.38</v>
      </c>
      <c r="EW572">
        <v>0.36</v>
      </c>
      <c r="EX572">
        <v>0</v>
      </c>
      <c r="EY572">
        <v>0</v>
      </c>
      <c r="FQ572">
        <v>0</v>
      </c>
      <c r="FR572">
        <f t="shared" si="313"/>
        <v>0</v>
      </c>
      <c r="FS572">
        <v>0</v>
      </c>
      <c r="FX572">
        <v>70</v>
      </c>
      <c r="FY572">
        <v>10</v>
      </c>
      <c r="GA572" t="s">
        <v>3</v>
      </c>
      <c r="GD572">
        <v>0</v>
      </c>
      <c r="GF572">
        <v>-505008572</v>
      </c>
      <c r="GG572">
        <v>2</v>
      </c>
      <c r="GH572">
        <v>1</v>
      </c>
      <c r="GI572">
        <v>-2</v>
      </c>
      <c r="GJ572">
        <v>0</v>
      </c>
      <c r="GK572">
        <f>ROUND(R572*(R12)/100,2)</f>
        <v>0</v>
      </c>
      <c r="GL572">
        <f t="shared" si="314"/>
        <v>0</v>
      </c>
      <c r="GM572">
        <f t="shared" si="315"/>
        <v>19810.21</v>
      </c>
      <c r="GN572">
        <f t="shared" si="316"/>
        <v>0</v>
      </c>
      <c r="GO572">
        <f t="shared" si="317"/>
        <v>0</v>
      </c>
      <c r="GP572">
        <f t="shared" si="318"/>
        <v>19810.21</v>
      </c>
      <c r="GR572">
        <v>0</v>
      </c>
      <c r="GS572">
        <v>3</v>
      </c>
      <c r="GT572">
        <v>0</v>
      </c>
      <c r="GU572" t="s">
        <v>3</v>
      </c>
      <c r="GV572">
        <f t="shared" si="319"/>
        <v>0</v>
      </c>
      <c r="GW572">
        <v>1</v>
      </c>
      <c r="GX572">
        <f t="shared" si="320"/>
        <v>0</v>
      </c>
      <c r="HA572">
        <v>0</v>
      </c>
      <c r="HB572">
        <v>0</v>
      </c>
      <c r="HC572">
        <f t="shared" si="321"/>
        <v>0</v>
      </c>
      <c r="HE572" t="s">
        <v>3</v>
      </c>
      <c r="HF572" t="s">
        <v>3</v>
      </c>
      <c r="HM572" t="s">
        <v>3</v>
      </c>
      <c r="HN572" t="s">
        <v>3</v>
      </c>
      <c r="HO572" t="s">
        <v>3</v>
      </c>
      <c r="HP572" t="s">
        <v>3</v>
      </c>
      <c r="HQ572" t="s">
        <v>3</v>
      </c>
      <c r="IK572">
        <v>0</v>
      </c>
    </row>
    <row r="573" spans="1:245" x14ac:dyDescent="0.2">
      <c r="A573">
        <v>17</v>
      </c>
      <c r="B573">
        <v>1</v>
      </c>
      <c r="C573">
        <f>ROW(SmtRes!A123)</f>
        <v>123</v>
      </c>
      <c r="D573">
        <f>ROW(EtalonRes!A208)</f>
        <v>208</v>
      </c>
      <c r="E573" t="s">
        <v>294</v>
      </c>
      <c r="F573" t="s">
        <v>277</v>
      </c>
      <c r="G573" t="s">
        <v>509</v>
      </c>
      <c r="H573" t="s">
        <v>18</v>
      </c>
      <c r="I573">
        <f>ROUND(684+196,9)</f>
        <v>880</v>
      </c>
      <c r="J573">
        <v>0</v>
      </c>
      <c r="K573">
        <f>ROUND(684+196,9)</f>
        <v>880</v>
      </c>
      <c r="O573">
        <f t="shared" si="291"/>
        <v>93717.89</v>
      </c>
      <c r="P573">
        <f t="shared" si="292"/>
        <v>1108.8</v>
      </c>
      <c r="Q573">
        <f t="shared" si="293"/>
        <v>0</v>
      </c>
      <c r="R573">
        <f t="shared" si="294"/>
        <v>0</v>
      </c>
      <c r="S573">
        <f t="shared" si="295"/>
        <v>92609.09</v>
      </c>
      <c r="T573">
        <f t="shared" si="296"/>
        <v>0</v>
      </c>
      <c r="U573">
        <f t="shared" si="297"/>
        <v>164.73600000000002</v>
      </c>
      <c r="V573">
        <f t="shared" si="298"/>
        <v>0</v>
      </c>
      <c r="W573">
        <f t="shared" si="299"/>
        <v>0</v>
      </c>
      <c r="X573">
        <f t="shared" si="300"/>
        <v>64826.36</v>
      </c>
      <c r="Y573">
        <f t="shared" si="300"/>
        <v>9260.91</v>
      </c>
      <c r="AA573">
        <v>1473080740</v>
      </c>
      <c r="AB573">
        <f t="shared" si="301"/>
        <v>106.49760000000001</v>
      </c>
      <c r="AC573">
        <f>ROUND((ES573),6)</f>
        <v>1.26</v>
      </c>
      <c r="AD573">
        <f>ROUND((((ET573)-(EU573))+AE573),6)</f>
        <v>0</v>
      </c>
      <c r="AE573">
        <f>ROUND((EU573),6)</f>
        <v>0</v>
      </c>
      <c r="AF573">
        <f>ROUND(((EV573*1.04)),6)</f>
        <v>105.2376</v>
      </c>
      <c r="AG573">
        <f t="shared" si="302"/>
        <v>0</v>
      </c>
      <c r="AH573">
        <f>((EW573*1.04))</f>
        <v>0.18720000000000001</v>
      </c>
      <c r="AI573">
        <f>(EX573)</f>
        <v>0</v>
      </c>
      <c r="AJ573">
        <f t="shared" si="303"/>
        <v>0</v>
      </c>
      <c r="AK573">
        <v>102.45</v>
      </c>
      <c r="AL573">
        <v>1.26</v>
      </c>
      <c r="AM573">
        <v>0</v>
      </c>
      <c r="AN573">
        <v>0</v>
      </c>
      <c r="AO573">
        <v>101.19</v>
      </c>
      <c r="AP573">
        <v>0</v>
      </c>
      <c r="AQ573">
        <v>0.18</v>
      </c>
      <c r="AR573">
        <v>0</v>
      </c>
      <c r="AS573">
        <v>0</v>
      </c>
      <c r="AT573">
        <v>70</v>
      </c>
      <c r="AU573">
        <v>10</v>
      </c>
      <c r="AV573">
        <v>1</v>
      </c>
      <c r="AW573">
        <v>1</v>
      </c>
      <c r="AZ573">
        <v>1</v>
      </c>
      <c r="BA573">
        <v>1</v>
      </c>
      <c r="BB573">
        <v>1</v>
      </c>
      <c r="BC573">
        <v>1</v>
      </c>
      <c r="BD573" t="s">
        <v>3</v>
      </c>
      <c r="BE573" t="s">
        <v>3</v>
      </c>
      <c r="BF573" t="s">
        <v>3</v>
      </c>
      <c r="BG573" t="s">
        <v>3</v>
      </c>
      <c r="BH573">
        <v>0</v>
      </c>
      <c r="BI573">
        <v>4</v>
      </c>
      <c r="BJ573" t="s">
        <v>278</v>
      </c>
      <c r="BM573">
        <v>0</v>
      </c>
      <c r="BN573">
        <v>0</v>
      </c>
      <c r="BO573" t="s">
        <v>3</v>
      </c>
      <c r="BP573">
        <v>0</v>
      </c>
      <c r="BQ573">
        <v>1</v>
      </c>
      <c r="BR573">
        <v>0</v>
      </c>
      <c r="BS573">
        <v>1</v>
      </c>
      <c r="BT573">
        <v>1</v>
      </c>
      <c r="BU573">
        <v>1</v>
      </c>
      <c r="BV573">
        <v>1</v>
      </c>
      <c r="BW573">
        <v>1</v>
      </c>
      <c r="BX573">
        <v>1</v>
      </c>
      <c r="BY573" t="s">
        <v>3</v>
      </c>
      <c r="BZ573">
        <v>70</v>
      </c>
      <c r="CA573">
        <v>10</v>
      </c>
      <c r="CB573" t="s">
        <v>3</v>
      </c>
      <c r="CE573">
        <v>0</v>
      </c>
      <c r="CF573">
        <v>0</v>
      </c>
      <c r="CG573">
        <v>0</v>
      </c>
      <c r="CM573">
        <v>0</v>
      </c>
      <c r="CN573" t="s">
        <v>279</v>
      </c>
      <c r="CO573">
        <v>0</v>
      </c>
      <c r="CP573">
        <f t="shared" si="304"/>
        <v>93717.89</v>
      </c>
      <c r="CQ573">
        <f t="shared" si="305"/>
        <v>1.26</v>
      </c>
      <c r="CR573">
        <f>((((ET573)*BB573-(EU573)*BS573)+AE573*BS573)*AV573)</f>
        <v>0</v>
      </c>
      <c r="CS573">
        <f t="shared" si="306"/>
        <v>0</v>
      </c>
      <c r="CT573">
        <f t="shared" si="307"/>
        <v>105.2376</v>
      </c>
      <c r="CU573">
        <f t="shared" si="308"/>
        <v>0</v>
      </c>
      <c r="CV573">
        <f t="shared" si="309"/>
        <v>0.18720000000000001</v>
      </c>
      <c r="CW573">
        <f t="shared" si="310"/>
        <v>0</v>
      </c>
      <c r="CX573">
        <f t="shared" si="310"/>
        <v>0</v>
      </c>
      <c r="CY573">
        <f t="shared" si="311"/>
        <v>64826.362999999998</v>
      </c>
      <c r="CZ573">
        <f t="shared" si="312"/>
        <v>9260.9089999999997</v>
      </c>
      <c r="DB573">
        <v>3</v>
      </c>
      <c r="DC573" t="s">
        <v>3</v>
      </c>
      <c r="DD573" t="s">
        <v>3</v>
      </c>
      <c r="DE573" t="s">
        <v>3</v>
      </c>
      <c r="DF573" t="s">
        <v>3</v>
      </c>
      <c r="DG573" t="s">
        <v>280</v>
      </c>
      <c r="DH573" t="s">
        <v>3</v>
      </c>
      <c r="DI573" t="s">
        <v>280</v>
      </c>
      <c r="DJ573" t="s">
        <v>3</v>
      </c>
      <c r="DK573" t="s">
        <v>3</v>
      </c>
      <c r="DL573" t="s">
        <v>3</v>
      </c>
      <c r="DM573" t="s">
        <v>3</v>
      </c>
      <c r="DN573">
        <v>0</v>
      </c>
      <c r="DO573">
        <v>0</v>
      </c>
      <c r="DP573">
        <v>1</v>
      </c>
      <c r="DQ573">
        <v>1</v>
      </c>
      <c r="DU573">
        <v>16987630</v>
      </c>
      <c r="DV573" t="s">
        <v>18</v>
      </c>
      <c r="DW573" t="s">
        <v>18</v>
      </c>
      <c r="DX573">
        <v>1</v>
      </c>
      <c r="DZ573" t="s">
        <v>3</v>
      </c>
      <c r="EA573" t="s">
        <v>3</v>
      </c>
      <c r="EB573" t="s">
        <v>3</v>
      </c>
      <c r="EC573" t="s">
        <v>3</v>
      </c>
      <c r="EE573">
        <v>1441815344</v>
      </c>
      <c r="EF573">
        <v>1</v>
      </c>
      <c r="EG573" t="s">
        <v>21</v>
      </c>
      <c r="EH573">
        <v>0</v>
      </c>
      <c r="EI573" t="s">
        <v>3</v>
      </c>
      <c r="EJ573">
        <v>4</v>
      </c>
      <c r="EK573">
        <v>0</v>
      </c>
      <c r="EL573" t="s">
        <v>22</v>
      </c>
      <c r="EM573" t="s">
        <v>23</v>
      </c>
      <c r="EO573" t="s">
        <v>281</v>
      </c>
      <c r="EQ573">
        <v>0</v>
      </c>
      <c r="ER573">
        <v>102.45</v>
      </c>
      <c r="ES573">
        <v>1.26</v>
      </c>
      <c r="ET573">
        <v>0</v>
      </c>
      <c r="EU573">
        <v>0</v>
      </c>
      <c r="EV573">
        <v>101.19</v>
      </c>
      <c r="EW573">
        <v>0.18</v>
      </c>
      <c r="EX573">
        <v>0</v>
      </c>
      <c r="EY573">
        <v>0</v>
      </c>
      <c r="FQ573">
        <v>0</v>
      </c>
      <c r="FR573">
        <f t="shared" si="313"/>
        <v>0</v>
      </c>
      <c r="FS573">
        <v>0</v>
      </c>
      <c r="FX573">
        <v>70</v>
      </c>
      <c r="FY573">
        <v>10</v>
      </c>
      <c r="GA573" t="s">
        <v>3</v>
      </c>
      <c r="GD573">
        <v>0</v>
      </c>
      <c r="GF573">
        <v>1069382726</v>
      </c>
      <c r="GG573">
        <v>2</v>
      </c>
      <c r="GH573">
        <v>1</v>
      </c>
      <c r="GI573">
        <v>-2</v>
      </c>
      <c r="GJ573">
        <v>0</v>
      </c>
      <c r="GK573">
        <f>ROUND(R573*(R12)/100,2)</f>
        <v>0</v>
      </c>
      <c r="GL573">
        <f t="shared" si="314"/>
        <v>0</v>
      </c>
      <c r="GM573">
        <f t="shared" si="315"/>
        <v>167805.16</v>
      </c>
      <c r="GN573">
        <f t="shared" si="316"/>
        <v>0</v>
      </c>
      <c r="GO573">
        <f t="shared" si="317"/>
        <v>0</v>
      </c>
      <c r="GP573">
        <f t="shared" si="318"/>
        <v>167805.16</v>
      </c>
      <c r="GR573">
        <v>0</v>
      </c>
      <c r="GS573">
        <v>3</v>
      </c>
      <c r="GT573">
        <v>0</v>
      </c>
      <c r="GU573" t="s">
        <v>3</v>
      </c>
      <c r="GV573">
        <f t="shared" si="319"/>
        <v>0</v>
      </c>
      <c r="GW573">
        <v>1</v>
      </c>
      <c r="GX573">
        <f t="shared" si="320"/>
        <v>0</v>
      </c>
      <c r="HA573">
        <v>0</v>
      </c>
      <c r="HB573">
        <v>0</v>
      </c>
      <c r="HC573">
        <f t="shared" si="321"/>
        <v>0</v>
      </c>
      <c r="HE573" t="s">
        <v>3</v>
      </c>
      <c r="HF573" t="s">
        <v>3</v>
      </c>
      <c r="HM573" t="s">
        <v>3</v>
      </c>
      <c r="HN573" t="s">
        <v>3</v>
      </c>
      <c r="HO573" t="s">
        <v>3</v>
      </c>
      <c r="HP573" t="s">
        <v>3</v>
      </c>
      <c r="HQ573" t="s">
        <v>3</v>
      </c>
      <c r="IK573">
        <v>0</v>
      </c>
    </row>
    <row r="574" spans="1:245" x14ac:dyDescent="0.2">
      <c r="A574">
        <v>17</v>
      </c>
      <c r="B574">
        <v>1</v>
      </c>
      <c r="C574">
        <f>ROW(SmtRes!A125)</f>
        <v>125</v>
      </c>
      <c r="D574">
        <f>ROW(EtalonRes!A210)</f>
        <v>210</v>
      </c>
      <c r="E574" t="s">
        <v>3</v>
      </c>
      <c r="F574" t="s">
        <v>295</v>
      </c>
      <c r="G574" t="s">
        <v>296</v>
      </c>
      <c r="H574" t="s">
        <v>18</v>
      </c>
      <c r="I574">
        <v>1</v>
      </c>
      <c r="J574">
        <v>0</v>
      </c>
      <c r="K574">
        <v>1</v>
      </c>
      <c r="O574">
        <f t="shared" si="291"/>
        <v>908.49</v>
      </c>
      <c r="P574">
        <f t="shared" si="292"/>
        <v>0</v>
      </c>
      <c r="Q574">
        <f t="shared" si="293"/>
        <v>78.180000000000007</v>
      </c>
      <c r="R574">
        <f t="shared" si="294"/>
        <v>49.56</v>
      </c>
      <c r="S574">
        <f t="shared" si="295"/>
        <v>830.31</v>
      </c>
      <c r="T574">
        <f t="shared" si="296"/>
        <v>0</v>
      </c>
      <c r="U574">
        <f t="shared" si="297"/>
        <v>1.17</v>
      </c>
      <c r="V574">
        <f t="shared" si="298"/>
        <v>0</v>
      </c>
      <c r="W574">
        <f t="shared" si="299"/>
        <v>0</v>
      </c>
      <c r="X574">
        <f t="shared" si="300"/>
        <v>581.22</v>
      </c>
      <c r="Y574">
        <f t="shared" si="300"/>
        <v>83.03</v>
      </c>
      <c r="AA574">
        <v>-1</v>
      </c>
      <c r="AB574">
        <f t="shared" si="301"/>
        <v>908.49</v>
      </c>
      <c r="AC574">
        <f>ROUND(((ES574*3)),6)</f>
        <v>0</v>
      </c>
      <c r="AD574">
        <f>ROUND(((((ET574*3))-((EU574*3)))+AE574),6)</f>
        <v>78.180000000000007</v>
      </c>
      <c r="AE574">
        <f>ROUND(((EU574*3)),6)</f>
        <v>49.56</v>
      </c>
      <c r="AF574">
        <f>ROUND(((EV574*3)),6)</f>
        <v>830.31</v>
      </c>
      <c r="AG574">
        <f t="shared" si="302"/>
        <v>0</v>
      </c>
      <c r="AH574">
        <f>((EW574*3))</f>
        <v>1.17</v>
      </c>
      <c r="AI574">
        <f>((EX574*3))</f>
        <v>0</v>
      </c>
      <c r="AJ574">
        <f t="shared" si="303"/>
        <v>0</v>
      </c>
      <c r="AK574">
        <v>302.83</v>
      </c>
      <c r="AL574">
        <v>0</v>
      </c>
      <c r="AM574">
        <v>26.06</v>
      </c>
      <c r="AN574">
        <v>16.52</v>
      </c>
      <c r="AO574">
        <v>276.77</v>
      </c>
      <c r="AP574">
        <v>0</v>
      </c>
      <c r="AQ574">
        <v>0.39</v>
      </c>
      <c r="AR574">
        <v>0</v>
      </c>
      <c r="AS574">
        <v>0</v>
      </c>
      <c r="AT574">
        <v>70</v>
      </c>
      <c r="AU574">
        <v>10</v>
      </c>
      <c r="AV574">
        <v>1</v>
      </c>
      <c r="AW574">
        <v>1</v>
      </c>
      <c r="AZ574">
        <v>1</v>
      </c>
      <c r="BA574">
        <v>1</v>
      </c>
      <c r="BB574">
        <v>1</v>
      </c>
      <c r="BC574">
        <v>1</v>
      </c>
      <c r="BD574" t="s">
        <v>3</v>
      </c>
      <c r="BE574" t="s">
        <v>3</v>
      </c>
      <c r="BF574" t="s">
        <v>3</v>
      </c>
      <c r="BG574" t="s">
        <v>3</v>
      </c>
      <c r="BH574">
        <v>0</v>
      </c>
      <c r="BI574">
        <v>4</v>
      </c>
      <c r="BJ574" t="s">
        <v>297</v>
      </c>
      <c r="BM574">
        <v>0</v>
      </c>
      <c r="BN574">
        <v>0</v>
      </c>
      <c r="BO574" t="s">
        <v>3</v>
      </c>
      <c r="BP574">
        <v>0</v>
      </c>
      <c r="BQ574">
        <v>1</v>
      </c>
      <c r="BR574">
        <v>0</v>
      </c>
      <c r="BS574">
        <v>1</v>
      </c>
      <c r="BT574">
        <v>1</v>
      </c>
      <c r="BU574">
        <v>1</v>
      </c>
      <c r="BV574">
        <v>1</v>
      </c>
      <c r="BW574">
        <v>1</v>
      </c>
      <c r="BX574">
        <v>1</v>
      </c>
      <c r="BY574" t="s">
        <v>3</v>
      </c>
      <c r="BZ574">
        <v>70</v>
      </c>
      <c r="CA574">
        <v>10</v>
      </c>
      <c r="CB574" t="s">
        <v>3</v>
      </c>
      <c r="CE574">
        <v>0</v>
      </c>
      <c r="CF574">
        <v>0</v>
      </c>
      <c r="CG574">
        <v>0</v>
      </c>
      <c r="CM574">
        <v>0</v>
      </c>
      <c r="CN574" t="s">
        <v>3</v>
      </c>
      <c r="CO574">
        <v>0</v>
      </c>
      <c r="CP574">
        <f t="shared" si="304"/>
        <v>908.49</v>
      </c>
      <c r="CQ574">
        <f t="shared" si="305"/>
        <v>0</v>
      </c>
      <c r="CR574">
        <f>(((((ET574*3))*BB574-((EU574*3))*BS574)+AE574*BS574)*AV574)</f>
        <v>78.179999999999993</v>
      </c>
      <c r="CS574">
        <f t="shared" si="306"/>
        <v>49.56</v>
      </c>
      <c r="CT574">
        <f t="shared" si="307"/>
        <v>830.31</v>
      </c>
      <c r="CU574">
        <f t="shared" si="308"/>
        <v>0</v>
      </c>
      <c r="CV574">
        <f t="shared" si="309"/>
        <v>1.17</v>
      </c>
      <c r="CW574">
        <f t="shared" si="310"/>
        <v>0</v>
      </c>
      <c r="CX574">
        <f t="shared" si="310"/>
        <v>0</v>
      </c>
      <c r="CY574">
        <f t="shared" si="311"/>
        <v>581.21699999999998</v>
      </c>
      <c r="CZ574">
        <f t="shared" si="312"/>
        <v>83.030999999999992</v>
      </c>
      <c r="DC574" t="s">
        <v>3</v>
      </c>
      <c r="DD574" t="s">
        <v>163</v>
      </c>
      <c r="DE574" t="s">
        <v>163</v>
      </c>
      <c r="DF574" t="s">
        <v>163</v>
      </c>
      <c r="DG574" t="s">
        <v>163</v>
      </c>
      <c r="DH574" t="s">
        <v>3</v>
      </c>
      <c r="DI574" t="s">
        <v>163</v>
      </c>
      <c r="DJ574" t="s">
        <v>163</v>
      </c>
      <c r="DK574" t="s">
        <v>3</v>
      </c>
      <c r="DL574" t="s">
        <v>3</v>
      </c>
      <c r="DM574" t="s">
        <v>3</v>
      </c>
      <c r="DN574">
        <v>0</v>
      </c>
      <c r="DO574">
        <v>0</v>
      </c>
      <c r="DP574">
        <v>1</v>
      </c>
      <c r="DQ574">
        <v>1</v>
      </c>
      <c r="DU574">
        <v>16987630</v>
      </c>
      <c r="DV574" t="s">
        <v>18</v>
      </c>
      <c r="DW574" t="s">
        <v>18</v>
      </c>
      <c r="DX574">
        <v>1</v>
      </c>
      <c r="DZ574" t="s">
        <v>3</v>
      </c>
      <c r="EA574" t="s">
        <v>3</v>
      </c>
      <c r="EB574" t="s">
        <v>3</v>
      </c>
      <c r="EC574" t="s">
        <v>3</v>
      </c>
      <c r="EE574">
        <v>1441815344</v>
      </c>
      <c r="EF574">
        <v>1</v>
      </c>
      <c r="EG574" t="s">
        <v>21</v>
      </c>
      <c r="EH574">
        <v>0</v>
      </c>
      <c r="EI574" t="s">
        <v>3</v>
      </c>
      <c r="EJ574">
        <v>4</v>
      </c>
      <c r="EK574">
        <v>0</v>
      </c>
      <c r="EL574" t="s">
        <v>22</v>
      </c>
      <c r="EM574" t="s">
        <v>23</v>
      </c>
      <c r="EO574" t="s">
        <v>3</v>
      </c>
      <c r="EQ574">
        <v>1024</v>
      </c>
      <c r="ER574">
        <v>302.83</v>
      </c>
      <c r="ES574">
        <v>0</v>
      </c>
      <c r="ET574">
        <v>26.06</v>
      </c>
      <c r="EU574">
        <v>16.52</v>
      </c>
      <c r="EV574">
        <v>276.77</v>
      </c>
      <c r="EW574">
        <v>0.39</v>
      </c>
      <c r="EX574">
        <v>0</v>
      </c>
      <c r="EY574">
        <v>0</v>
      </c>
      <c r="FQ574">
        <v>0</v>
      </c>
      <c r="FR574">
        <f t="shared" si="313"/>
        <v>0</v>
      </c>
      <c r="FS574">
        <v>0</v>
      </c>
      <c r="FX574">
        <v>70</v>
      </c>
      <c r="FY574">
        <v>10</v>
      </c>
      <c r="GA574" t="s">
        <v>3</v>
      </c>
      <c r="GD574">
        <v>0</v>
      </c>
      <c r="GF574">
        <v>-1861883778</v>
      </c>
      <c r="GG574">
        <v>2</v>
      </c>
      <c r="GH574">
        <v>1</v>
      </c>
      <c r="GI574">
        <v>-2</v>
      </c>
      <c r="GJ574">
        <v>0</v>
      </c>
      <c r="GK574">
        <f>ROUND(R574*(R12)/100,2)</f>
        <v>53.52</v>
      </c>
      <c r="GL574">
        <f t="shared" si="314"/>
        <v>0</v>
      </c>
      <c r="GM574">
        <f t="shared" si="315"/>
        <v>1626.26</v>
      </c>
      <c r="GN574">
        <f t="shared" si="316"/>
        <v>0</v>
      </c>
      <c r="GO574">
        <f t="shared" si="317"/>
        <v>0</v>
      </c>
      <c r="GP574">
        <f t="shared" si="318"/>
        <v>1626.26</v>
      </c>
      <c r="GR574">
        <v>0</v>
      </c>
      <c r="GS574">
        <v>3</v>
      </c>
      <c r="GT574">
        <v>0</v>
      </c>
      <c r="GU574" t="s">
        <v>3</v>
      </c>
      <c r="GV574">
        <f t="shared" si="319"/>
        <v>0</v>
      </c>
      <c r="GW574">
        <v>1</v>
      </c>
      <c r="GX574">
        <f t="shared" si="320"/>
        <v>0</v>
      </c>
      <c r="HA574">
        <v>0</v>
      </c>
      <c r="HB574">
        <v>0</v>
      </c>
      <c r="HC574">
        <f t="shared" si="321"/>
        <v>0</v>
      </c>
      <c r="HE574" t="s">
        <v>3</v>
      </c>
      <c r="HF574" t="s">
        <v>3</v>
      </c>
      <c r="HM574" t="s">
        <v>3</v>
      </c>
      <c r="HN574" t="s">
        <v>3</v>
      </c>
      <c r="HO574" t="s">
        <v>3</v>
      </c>
      <c r="HP574" t="s">
        <v>3</v>
      </c>
      <c r="HQ574" t="s">
        <v>3</v>
      </c>
      <c r="IK574">
        <v>0</v>
      </c>
    </row>
    <row r="575" spans="1:245" x14ac:dyDescent="0.2">
      <c r="A575">
        <v>17</v>
      </c>
      <c r="B575">
        <v>1</v>
      </c>
      <c r="C575">
        <f>ROW(SmtRes!A130)</f>
        <v>130</v>
      </c>
      <c r="D575">
        <f>ROW(EtalonRes!A215)</f>
        <v>215</v>
      </c>
      <c r="E575" t="s">
        <v>298</v>
      </c>
      <c r="F575" t="s">
        <v>299</v>
      </c>
      <c r="G575" t="s">
        <v>300</v>
      </c>
      <c r="H575" t="s">
        <v>18</v>
      </c>
      <c r="I575">
        <v>1</v>
      </c>
      <c r="J575">
        <v>0</v>
      </c>
      <c r="K575">
        <v>1</v>
      </c>
      <c r="O575">
        <f t="shared" si="291"/>
        <v>1424.94</v>
      </c>
      <c r="P575">
        <f t="shared" si="292"/>
        <v>3.06</v>
      </c>
      <c r="Q575">
        <f t="shared" si="293"/>
        <v>130.30000000000001</v>
      </c>
      <c r="R575">
        <f t="shared" si="294"/>
        <v>82.62</v>
      </c>
      <c r="S575">
        <f t="shared" si="295"/>
        <v>1291.58</v>
      </c>
      <c r="T575">
        <f t="shared" si="296"/>
        <v>0</v>
      </c>
      <c r="U575">
        <f t="shared" si="297"/>
        <v>1.82</v>
      </c>
      <c r="V575">
        <f t="shared" si="298"/>
        <v>0</v>
      </c>
      <c r="W575">
        <f t="shared" si="299"/>
        <v>0</v>
      </c>
      <c r="X575">
        <f t="shared" si="300"/>
        <v>904.11</v>
      </c>
      <c r="Y575">
        <f t="shared" si="300"/>
        <v>129.16</v>
      </c>
      <c r="AA575">
        <v>1473080740</v>
      </c>
      <c r="AB575">
        <f t="shared" si="301"/>
        <v>1424.94</v>
      </c>
      <c r="AC575">
        <f>ROUND((ES575),6)</f>
        <v>3.06</v>
      </c>
      <c r="AD575">
        <f>ROUND((((ET575)-(EU575))+AE575),6)</f>
        <v>130.30000000000001</v>
      </c>
      <c r="AE575">
        <f>ROUND((EU575),6)</f>
        <v>82.62</v>
      </c>
      <c r="AF575">
        <f>ROUND((EV575),6)</f>
        <v>1291.58</v>
      </c>
      <c r="AG575">
        <f t="shared" si="302"/>
        <v>0</v>
      </c>
      <c r="AH575">
        <f>(EW575)</f>
        <v>1.82</v>
      </c>
      <c r="AI575">
        <f>(EX575)</f>
        <v>0</v>
      </c>
      <c r="AJ575">
        <f t="shared" si="303"/>
        <v>0</v>
      </c>
      <c r="AK575">
        <v>1424.94</v>
      </c>
      <c r="AL575">
        <v>3.06</v>
      </c>
      <c r="AM575">
        <v>130.30000000000001</v>
      </c>
      <c r="AN575">
        <v>82.62</v>
      </c>
      <c r="AO575">
        <v>1291.58</v>
      </c>
      <c r="AP575">
        <v>0</v>
      </c>
      <c r="AQ575">
        <v>1.82</v>
      </c>
      <c r="AR575">
        <v>0</v>
      </c>
      <c r="AS575">
        <v>0</v>
      </c>
      <c r="AT575">
        <v>70</v>
      </c>
      <c r="AU575">
        <v>10</v>
      </c>
      <c r="AV575">
        <v>1</v>
      </c>
      <c r="AW575">
        <v>1</v>
      </c>
      <c r="AZ575">
        <v>1</v>
      </c>
      <c r="BA575">
        <v>1</v>
      </c>
      <c r="BB575">
        <v>1</v>
      </c>
      <c r="BC575">
        <v>1</v>
      </c>
      <c r="BD575" t="s">
        <v>3</v>
      </c>
      <c r="BE575" t="s">
        <v>3</v>
      </c>
      <c r="BF575" t="s">
        <v>3</v>
      </c>
      <c r="BG575" t="s">
        <v>3</v>
      </c>
      <c r="BH575">
        <v>0</v>
      </c>
      <c r="BI575">
        <v>4</v>
      </c>
      <c r="BJ575" t="s">
        <v>301</v>
      </c>
      <c r="BM575">
        <v>0</v>
      </c>
      <c r="BN575">
        <v>0</v>
      </c>
      <c r="BO575" t="s">
        <v>3</v>
      </c>
      <c r="BP575">
        <v>0</v>
      </c>
      <c r="BQ575">
        <v>1</v>
      </c>
      <c r="BR575">
        <v>0</v>
      </c>
      <c r="BS575">
        <v>1</v>
      </c>
      <c r="BT575">
        <v>1</v>
      </c>
      <c r="BU575">
        <v>1</v>
      </c>
      <c r="BV575">
        <v>1</v>
      </c>
      <c r="BW575">
        <v>1</v>
      </c>
      <c r="BX575">
        <v>1</v>
      </c>
      <c r="BY575" t="s">
        <v>3</v>
      </c>
      <c r="BZ575">
        <v>70</v>
      </c>
      <c r="CA575">
        <v>10</v>
      </c>
      <c r="CB575" t="s">
        <v>3</v>
      </c>
      <c r="CE575">
        <v>0</v>
      </c>
      <c r="CF575">
        <v>0</v>
      </c>
      <c r="CG575">
        <v>0</v>
      </c>
      <c r="CM575">
        <v>0</v>
      </c>
      <c r="CN575" t="s">
        <v>3</v>
      </c>
      <c r="CO575">
        <v>0</v>
      </c>
      <c r="CP575">
        <f t="shared" si="304"/>
        <v>1424.94</v>
      </c>
      <c r="CQ575">
        <f t="shared" si="305"/>
        <v>3.06</v>
      </c>
      <c r="CR575">
        <f>((((ET575)*BB575-(EU575)*BS575)+AE575*BS575)*AV575)</f>
        <v>130.30000000000001</v>
      </c>
      <c r="CS575">
        <f t="shared" si="306"/>
        <v>82.62</v>
      </c>
      <c r="CT575">
        <f t="shared" si="307"/>
        <v>1291.58</v>
      </c>
      <c r="CU575">
        <f t="shared" si="308"/>
        <v>0</v>
      </c>
      <c r="CV575">
        <f t="shared" si="309"/>
        <v>1.82</v>
      </c>
      <c r="CW575">
        <f t="shared" si="310"/>
        <v>0</v>
      </c>
      <c r="CX575">
        <f t="shared" si="310"/>
        <v>0</v>
      </c>
      <c r="CY575">
        <f t="shared" si="311"/>
        <v>904.10599999999988</v>
      </c>
      <c r="CZ575">
        <f t="shared" si="312"/>
        <v>129.15799999999999</v>
      </c>
      <c r="DC575" t="s">
        <v>3</v>
      </c>
      <c r="DD575" t="s">
        <v>3</v>
      </c>
      <c r="DE575" t="s">
        <v>3</v>
      </c>
      <c r="DF575" t="s">
        <v>3</v>
      </c>
      <c r="DG575" t="s">
        <v>3</v>
      </c>
      <c r="DH575" t="s">
        <v>3</v>
      </c>
      <c r="DI575" t="s">
        <v>3</v>
      </c>
      <c r="DJ575" t="s">
        <v>3</v>
      </c>
      <c r="DK575" t="s">
        <v>3</v>
      </c>
      <c r="DL575" t="s">
        <v>3</v>
      </c>
      <c r="DM575" t="s">
        <v>3</v>
      </c>
      <c r="DN575">
        <v>0</v>
      </c>
      <c r="DO575">
        <v>0</v>
      </c>
      <c r="DP575">
        <v>1</v>
      </c>
      <c r="DQ575">
        <v>1</v>
      </c>
      <c r="DU575">
        <v>16987630</v>
      </c>
      <c r="DV575" t="s">
        <v>18</v>
      </c>
      <c r="DW575" t="s">
        <v>18</v>
      </c>
      <c r="DX575">
        <v>1</v>
      </c>
      <c r="DZ575" t="s">
        <v>3</v>
      </c>
      <c r="EA575" t="s">
        <v>3</v>
      </c>
      <c r="EB575" t="s">
        <v>3</v>
      </c>
      <c r="EC575" t="s">
        <v>3</v>
      </c>
      <c r="EE575">
        <v>1441815344</v>
      </c>
      <c r="EF575">
        <v>1</v>
      </c>
      <c r="EG575" t="s">
        <v>21</v>
      </c>
      <c r="EH575">
        <v>0</v>
      </c>
      <c r="EI575" t="s">
        <v>3</v>
      </c>
      <c r="EJ575">
        <v>4</v>
      </c>
      <c r="EK575">
        <v>0</v>
      </c>
      <c r="EL575" t="s">
        <v>22</v>
      </c>
      <c r="EM575" t="s">
        <v>23</v>
      </c>
      <c r="EO575" t="s">
        <v>3</v>
      </c>
      <c r="EQ575">
        <v>0</v>
      </c>
      <c r="ER575">
        <v>1424.94</v>
      </c>
      <c r="ES575">
        <v>3.06</v>
      </c>
      <c r="ET575">
        <v>130.30000000000001</v>
      </c>
      <c r="EU575">
        <v>82.62</v>
      </c>
      <c r="EV575">
        <v>1291.58</v>
      </c>
      <c r="EW575">
        <v>1.82</v>
      </c>
      <c r="EX575">
        <v>0</v>
      </c>
      <c r="EY575">
        <v>0</v>
      </c>
      <c r="FQ575">
        <v>0</v>
      </c>
      <c r="FR575">
        <f t="shared" si="313"/>
        <v>0</v>
      </c>
      <c r="FS575">
        <v>0</v>
      </c>
      <c r="FX575">
        <v>70</v>
      </c>
      <c r="FY575">
        <v>10</v>
      </c>
      <c r="GA575" t="s">
        <v>3</v>
      </c>
      <c r="GD575">
        <v>0</v>
      </c>
      <c r="GF575">
        <v>904950926</v>
      </c>
      <c r="GG575">
        <v>2</v>
      </c>
      <c r="GH575">
        <v>1</v>
      </c>
      <c r="GI575">
        <v>-2</v>
      </c>
      <c r="GJ575">
        <v>0</v>
      </c>
      <c r="GK575">
        <f>ROUND(R575*(R12)/100,2)</f>
        <v>89.23</v>
      </c>
      <c r="GL575">
        <f t="shared" si="314"/>
        <v>0</v>
      </c>
      <c r="GM575">
        <f t="shared" si="315"/>
        <v>2547.44</v>
      </c>
      <c r="GN575">
        <f t="shared" si="316"/>
        <v>0</v>
      </c>
      <c r="GO575">
        <f t="shared" si="317"/>
        <v>0</v>
      </c>
      <c r="GP575">
        <f t="shared" si="318"/>
        <v>2547.44</v>
      </c>
      <c r="GR575">
        <v>0</v>
      </c>
      <c r="GS575">
        <v>3</v>
      </c>
      <c r="GT575">
        <v>0</v>
      </c>
      <c r="GU575" t="s">
        <v>3</v>
      </c>
      <c r="GV575">
        <f t="shared" si="319"/>
        <v>0</v>
      </c>
      <c r="GW575">
        <v>1</v>
      </c>
      <c r="GX575">
        <f t="shared" si="320"/>
        <v>0</v>
      </c>
      <c r="HA575">
        <v>0</v>
      </c>
      <c r="HB575">
        <v>0</v>
      </c>
      <c r="HC575">
        <f t="shared" si="321"/>
        <v>0</v>
      </c>
      <c r="HE575" t="s">
        <v>3</v>
      </c>
      <c r="HF575" t="s">
        <v>3</v>
      </c>
      <c r="HM575" t="s">
        <v>3</v>
      </c>
      <c r="HN575" t="s">
        <v>3</v>
      </c>
      <c r="HO575" t="s">
        <v>3</v>
      </c>
      <c r="HP575" t="s">
        <v>3</v>
      </c>
      <c r="HQ575" t="s">
        <v>3</v>
      </c>
      <c r="IK575">
        <v>0</v>
      </c>
    </row>
    <row r="577" spans="1:206" x14ac:dyDescent="0.2">
      <c r="A577" s="2">
        <v>51</v>
      </c>
      <c r="B577" s="2">
        <f>B565</f>
        <v>1</v>
      </c>
      <c r="C577" s="2">
        <f>A565</f>
        <v>5</v>
      </c>
      <c r="D577" s="2">
        <f>ROW(A565)</f>
        <v>565</v>
      </c>
      <c r="E577" s="2"/>
      <c r="F577" s="2" t="str">
        <f>IF(F565&lt;&gt;"",F565,"")</f>
        <v>Новый подраздел</v>
      </c>
      <c r="G577" s="2" t="str">
        <f>IF(G565&lt;&gt;"",G565,"")</f>
        <v>Осветительная арматура</v>
      </c>
      <c r="H577" s="2">
        <v>0</v>
      </c>
      <c r="I577" s="2"/>
      <c r="J577" s="2"/>
      <c r="K577" s="2"/>
      <c r="L577" s="2"/>
      <c r="M577" s="2"/>
      <c r="N577" s="2"/>
      <c r="O577" s="2">
        <f t="shared" ref="O577:T577" si="322">ROUND(AB577,2)</f>
        <v>154092.09</v>
      </c>
      <c r="P577" s="2">
        <f t="shared" si="322"/>
        <v>2110.6799999999998</v>
      </c>
      <c r="Q577" s="2">
        <f t="shared" si="322"/>
        <v>130.30000000000001</v>
      </c>
      <c r="R577" s="2">
        <f t="shared" si="322"/>
        <v>82.62</v>
      </c>
      <c r="S577" s="2">
        <f t="shared" si="322"/>
        <v>151851.10999999999</v>
      </c>
      <c r="T577" s="2">
        <f t="shared" si="322"/>
        <v>0</v>
      </c>
      <c r="U577" s="2">
        <f>AH577</f>
        <v>269.64080000000001</v>
      </c>
      <c r="V577" s="2">
        <f>AI577</f>
        <v>0</v>
      </c>
      <c r="W577" s="2">
        <f>ROUND(AJ577,2)</f>
        <v>0</v>
      </c>
      <c r="X577" s="2">
        <f>ROUND(AK577,2)</f>
        <v>106295.79</v>
      </c>
      <c r="Y577" s="2">
        <f>ROUND(AL577,2)</f>
        <v>15185.12</v>
      </c>
      <c r="Z577" s="2"/>
      <c r="AA577" s="2"/>
      <c r="AB577" s="2">
        <f>ROUND(SUMIF(AA569:AA575,"=1473080740",O569:O575),2)</f>
        <v>154092.09</v>
      </c>
      <c r="AC577" s="2">
        <f>ROUND(SUMIF(AA569:AA575,"=1473080740",P569:P575),2)</f>
        <v>2110.6799999999998</v>
      </c>
      <c r="AD577" s="2">
        <f>ROUND(SUMIF(AA569:AA575,"=1473080740",Q569:Q575),2)</f>
        <v>130.30000000000001</v>
      </c>
      <c r="AE577" s="2">
        <f>ROUND(SUMIF(AA569:AA575,"=1473080740",R569:R575),2)</f>
        <v>82.62</v>
      </c>
      <c r="AF577" s="2">
        <f>ROUND(SUMIF(AA569:AA575,"=1473080740",S569:S575),2)</f>
        <v>151851.10999999999</v>
      </c>
      <c r="AG577" s="2">
        <f>ROUND(SUMIF(AA569:AA575,"=1473080740",T569:T575),2)</f>
        <v>0</v>
      </c>
      <c r="AH577" s="2">
        <f>SUMIF(AA569:AA575,"=1473080740",U569:U575)</f>
        <v>269.64080000000001</v>
      </c>
      <c r="AI577" s="2">
        <f>SUMIF(AA569:AA575,"=1473080740",V569:V575)</f>
        <v>0</v>
      </c>
      <c r="AJ577" s="2">
        <f>ROUND(SUMIF(AA569:AA575,"=1473080740",W569:W575),2)</f>
        <v>0</v>
      </c>
      <c r="AK577" s="2">
        <f>ROUND(SUMIF(AA569:AA575,"=1473080740",X569:X575),2)</f>
        <v>106295.79</v>
      </c>
      <c r="AL577" s="2">
        <f>ROUND(SUMIF(AA569:AA575,"=1473080740",Y569:Y575),2)</f>
        <v>15185.12</v>
      </c>
      <c r="AM577" s="2"/>
      <c r="AN577" s="2"/>
      <c r="AO577" s="2">
        <f t="shared" ref="AO577:BD577" si="323">ROUND(BX577,2)</f>
        <v>0</v>
      </c>
      <c r="AP577" s="2">
        <f t="shared" si="323"/>
        <v>0</v>
      </c>
      <c r="AQ577" s="2">
        <f t="shared" si="323"/>
        <v>0</v>
      </c>
      <c r="AR577" s="2">
        <f t="shared" si="323"/>
        <v>275662.23</v>
      </c>
      <c r="AS577" s="2">
        <f t="shared" si="323"/>
        <v>0</v>
      </c>
      <c r="AT577" s="2">
        <f t="shared" si="323"/>
        <v>0</v>
      </c>
      <c r="AU577" s="2">
        <f t="shared" si="323"/>
        <v>275662.23</v>
      </c>
      <c r="AV577" s="2">
        <f t="shared" si="323"/>
        <v>2110.6799999999998</v>
      </c>
      <c r="AW577" s="2">
        <f t="shared" si="323"/>
        <v>2110.6799999999998</v>
      </c>
      <c r="AX577" s="2">
        <f t="shared" si="323"/>
        <v>0</v>
      </c>
      <c r="AY577" s="2">
        <f t="shared" si="323"/>
        <v>2110.6799999999998</v>
      </c>
      <c r="AZ577" s="2">
        <f t="shared" si="323"/>
        <v>0</v>
      </c>
      <c r="BA577" s="2">
        <f t="shared" si="323"/>
        <v>0</v>
      </c>
      <c r="BB577" s="2">
        <f t="shared" si="323"/>
        <v>0</v>
      </c>
      <c r="BC577" s="2">
        <f t="shared" si="323"/>
        <v>0</v>
      </c>
      <c r="BD577" s="2">
        <f t="shared" si="323"/>
        <v>0</v>
      </c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>
        <f>ROUND(SUMIF(AA569:AA575,"=1473080740",FQ569:FQ575),2)</f>
        <v>0</v>
      </c>
      <c r="BY577" s="2">
        <f>ROUND(SUMIF(AA569:AA575,"=1473080740",FR569:FR575),2)</f>
        <v>0</v>
      </c>
      <c r="BZ577" s="2">
        <f>ROUND(SUMIF(AA569:AA575,"=1473080740",GL569:GL575),2)</f>
        <v>0</v>
      </c>
      <c r="CA577" s="2">
        <f>ROUND(SUMIF(AA569:AA575,"=1473080740",GM569:GM575),2)</f>
        <v>275662.23</v>
      </c>
      <c r="CB577" s="2">
        <f>ROUND(SUMIF(AA569:AA575,"=1473080740",GN569:GN575),2)</f>
        <v>0</v>
      </c>
      <c r="CC577" s="2">
        <f>ROUND(SUMIF(AA569:AA575,"=1473080740",GO569:GO575),2)</f>
        <v>0</v>
      </c>
      <c r="CD577" s="2">
        <f>ROUND(SUMIF(AA569:AA575,"=1473080740",GP569:GP575),2)</f>
        <v>275662.23</v>
      </c>
      <c r="CE577" s="2">
        <f>AC577-BX577</f>
        <v>2110.6799999999998</v>
      </c>
      <c r="CF577" s="2">
        <f>AC577-BY577</f>
        <v>2110.6799999999998</v>
      </c>
      <c r="CG577" s="2">
        <f>BX577-BZ577</f>
        <v>0</v>
      </c>
      <c r="CH577" s="2">
        <f>AC577-BX577-BY577+BZ577</f>
        <v>2110.6799999999998</v>
      </c>
      <c r="CI577" s="2">
        <f>BY577-BZ577</f>
        <v>0</v>
      </c>
      <c r="CJ577" s="2">
        <f>ROUND(SUMIF(AA569:AA575,"=1473080740",GX569:GX575),2)</f>
        <v>0</v>
      </c>
      <c r="CK577" s="2">
        <f>ROUND(SUMIF(AA569:AA575,"=1473080740",GY569:GY575),2)</f>
        <v>0</v>
      </c>
      <c r="CL577" s="2">
        <f>ROUND(SUMIF(AA569:AA575,"=1473080740",GZ569:GZ575),2)</f>
        <v>0</v>
      </c>
      <c r="CM577" s="2">
        <f>ROUND(SUMIF(AA569:AA575,"=1473080740",HD569:HD575),2)</f>
        <v>0</v>
      </c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3"/>
      <c r="DH577" s="3"/>
      <c r="DI577" s="3"/>
      <c r="DJ577" s="3"/>
      <c r="DK577" s="3"/>
      <c r="DL577" s="3"/>
      <c r="DM577" s="3"/>
      <c r="DN577" s="3"/>
      <c r="DO577" s="3"/>
      <c r="DP577" s="3"/>
      <c r="DQ577" s="3"/>
      <c r="DR577" s="3"/>
      <c r="DS577" s="3"/>
      <c r="DT577" s="3"/>
      <c r="DU577" s="3"/>
      <c r="DV577" s="3"/>
      <c r="DW577" s="3"/>
      <c r="DX577" s="3"/>
      <c r="DY577" s="3"/>
      <c r="DZ577" s="3"/>
      <c r="EA577" s="3"/>
      <c r="EB577" s="3"/>
      <c r="EC577" s="3"/>
      <c r="ED577" s="3"/>
      <c r="EE577" s="3"/>
      <c r="EF577" s="3"/>
      <c r="EG577" s="3"/>
      <c r="EH577" s="3"/>
      <c r="EI577" s="3"/>
      <c r="EJ577" s="3"/>
      <c r="EK577" s="3"/>
      <c r="EL577" s="3"/>
      <c r="EM577" s="3"/>
      <c r="EN577" s="3"/>
      <c r="EO577" s="3"/>
      <c r="EP577" s="3"/>
      <c r="EQ577" s="3"/>
      <c r="ER577" s="3"/>
      <c r="ES577" s="3"/>
      <c r="ET577" s="3"/>
      <c r="EU577" s="3"/>
      <c r="EV577" s="3"/>
      <c r="EW577" s="3"/>
      <c r="EX577" s="3"/>
      <c r="EY577" s="3"/>
      <c r="EZ577" s="3"/>
      <c r="FA577" s="3"/>
      <c r="FB577" s="3"/>
      <c r="FC577" s="3"/>
      <c r="FD577" s="3"/>
      <c r="FE577" s="3"/>
      <c r="FF577" s="3"/>
      <c r="FG577" s="3"/>
      <c r="FH577" s="3"/>
      <c r="FI577" s="3"/>
      <c r="FJ577" s="3"/>
      <c r="FK577" s="3"/>
      <c r="FL577" s="3"/>
      <c r="FM577" s="3"/>
      <c r="FN577" s="3"/>
      <c r="FO577" s="3"/>
      <c r="FP577" s="3"/>
      <c r="FQ577" s="3"/>
      <c r="FR577" s="3"/>
      <c r="FS577" s="3"/>
      <c r="FT577" s="3"/>
      <c r="FU577" s="3"/>
      <c r="FV577" s="3"/>
      <c r="FW577" s="3"/>
      <c r="FX577" s="3"/>
      <c r="FY577" s="3"/>
      <c r="FZ577" s="3"/>
      <c r="GA577" s="3"/>
      <c r="GB577" s="3"/>
      <c r="GC577" s="3"/>
      <c r="GD577" s="3"/>
      <c r="GE577" s="3"/>
      <c r="GF577" s="3"/>
      <c r="GG577" s="3"/>
      <c r="GH577" s="3"/>
      <c r="GI577" s="3"/>
      <c r="GJ577" s="3"/>
      <c r="GK577" s="3"/>
      <c r="GL577" s="3"/>
      <c r="GM577" s="3"/>
      <c r="GN577" s="3"/>
      <c r="GO577" s="3"/>
      <c r="GP577" s="3"/>
      <c r="GQ577" s="3"/>
      <c r="GR577" s="3"/>
      <c r="GS577" s="3"/>
      <c r="GT577" s="3"/>
      <c r="GU577" s="3"/>
      <c r="GV577" s="3"/>
      <c r="GW577" s="3"/>
      <c r="GX577" s="3">
        <v>0</v>
      </c>
    </row>
    <row r="579" spans="1:206" x14ac:dyDescent="0.2">
      <c r="A579" s="4">
        <v>50</v>
      </c>
      <c r="B579" s="4">
        <v>0</v>
      </c>
      <c r="C579" s="4">
        <v>0</v>
      </c>
      <c r="D579" s="4">
        <v>1</v>
      </c>
      <c r="E579" s="4">
        <v>201</v>
      </c>
      <c r="F579" s="4">
        <f>ROUND(Source!O577,O579)</f>
        <v>154092.09</v>
      </c>
      <c r="G579" s="4" t="s">
        <v>43</v>
      </c>
      <c r="H579" s="4" t="s">
        <v>44</v>
      </c>
      <c r="I579" s="4"/>
      <c r="J579" s="4"/>
      <c r="K579" s="4">
        <v>201</v>
      </c>
      <c r="L579" s="4">
        <v>1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154092.09</v>
      </c>
      <c r="X579" s="4">
        <v>1</v>
      </c>
      <c r="Y579" s="4">
        <v>154092.09</v>
      </c>
      <c r="Z579" s="4"/>
      <c r="AA579" s="4"/>
      <c r="AB579" s="4"/>
    </row>
    <row r="580" spans="1:206" x14ac:dyDescent="0.2">
      <c r="A580" s="4">
        <v>50</v>
      </c>
      <c r="B580" s="4">
        <v>0</v>
      </c>
      <c r="C580" s="4">
        <v>0</v>
      </c>
      <c r="D580" s="4">
        <v>1</v>
      </c>
      <c r="E580" s="4">
        <v>202</v>
      </c>
      <c r="F580" s="4">
        <f>ROUND(Source!P577,O580)</f>
        <v>2110.6799999999998</v>
      </c>
      <c r="G580" s="4" t="s">
        <v>45</v>
      </c>
      <c r="H580" s="4" t="s">
        <v>46</v>
      </c>
      <c r="I580" s="4"/>
      <c r="J580" s="4"/>
      <c r="K580" s="4">
        <v>202</v>
      </c>
      <c r="L580" s="4">
        <v>2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2110.6799999999998</v>
      </c>
      <c r="X580" s="4">
        <v>1</v>
      </c>
      <c r="Y580" s="4">
        <v>2110.6799999999998</v>
      </c>
      <c r="Z580" s="4"/>
      <c r="AA580" s="4"/>
      <c r="AB580" s="4"/>
    </row>
    <row r="581" spans="1:206" x14ac:dyDescent="0.2">
      <c r="A581" s="4">
        <v>50</v>
      </c>
      <c r="B581" s="4">
        <v>0</v>
      </c>
      <c r="C581" s="4">
        <v>0</v>
      </c>
      <c r="D581" s="4">
        <v>1</v>
      </c>
      <c r="E581" s="4">
        <v>222</v>
      </c>
      <c r="F581" s="4">
        <f>ROUND(Source!AO577,O581)</f>
        <v>0</v>
      </c>
      <c r="G581" s="4" t="s">
        <v>47</v>
      </c>
      <c r="H581" s="4" t="s">
        <v>48</v>
      </c>
      <c r="I581" s="4"/>
      <c r="J581" s="4"/>
      <c r="K581" s="4">
        <v>222</v>
      </c>
      <c r="L581" s="4">
        <v>3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06" x14ac:dyDescent="0.2">
      <c r="A582" s="4">
        <v>50</v>
      </c>
      <c r="B582" s="4">
        <v>0</v>
      </c>
      <c r="C582" s="4">
        <v>0</v>
      </c>
      <c r="D582" s="4">
        <v>1</v>
      </c>
      <c r="E582" s="4">
        <v>225</v>
      </c>
      <c r="F582" s="4">
        <f>ROUND(Source!AV577,O582)</f>
        <v>2110.6799999999998</v>
      </c>
      <c r="G582" s="4" t="s">
        <v>49</v>
      </c>
      <c r="H582" s="4" t="s">
        <v>50</v>
      </c>
      <c r="I582" s="4"/>
      <c r="J582" s="4"/>
      <c r="K582" s="4">
        <v>225</v>
      </c>
      <c r="L582" s="4">
        <v>4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2110.6799999999998</v>
      </c>
      <c r="X582" s="4">
        <v>1</v>
      </c>
      <c r="Y582" s="4">
        <v>2110.6799999999998</v>
      </c>
      <c r="Z582" s="4"/>
      <c r="AA582" s="4"/>
      <c r="AB582" s="4"/>
    </row>
    <row r="583" spans="1:206" x14ac:dyDescent="0.2">
      <c r="A583" s="4">
        <v>50</v>
      </c>
      <c r="B583" s="4">
        <v>0</v>
      </c>
      <c r="C583" s="4">
        <v>0</v>
      </c>
      <c r="D583" s="4">
        <v>1</v>
      </c>
      <c r="E583" s="4">
        <v>226</v>
      </c>
      <c r="F583" s="4">
        <f>ROUND(Source!AW577,O583)</f>
        <v>2110.6799999999998</v>
      </c>
      <c r="G583" s="4" t="s">
        <v>51</v>
      </c>
      <c r="H583" s="4" t="s">
        <v>52</v>
      </c>
      <c r="I583" s="4"/>
      <c r="J583" s="4"/>
      <c r="K583" s="4">
        <v>226</v>
      </c>
      <c r="L583" s="4">
        <v>5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2110.6799999999998</v>
      </c>
      <c r="X583" s="4">
        <v>1</v>
      </c>
      <c r="Y583" s="4">
        <v>2110.6799999999998</v>
      </c>
      <c r="Z583" s="4"/>
      <c r="AA583" s="4"/>
      <c r="AB583" s="4"/>
    </row>
    <row r="584" spans="1:206" x14ac:dyDescent="0.2">
      <c r="A584" s="4">
        <v>50</v>
      </c>
      <c r="B584" s="4">
        <v>0</v>
      </c>
      <c r="C584" s="4">
        <v>0</v>
      </c>
      <c r="D584" s="4">
        <v>1</v>
      </c>
      <c r="E584" s="4">
        <v>227</v>
      </c>
      <c r="F584" s="4">
        <f>ROUND(Source!AX577,O584)</f>
        <v>0</v>
      </c>
      <c r="G584" s="4" t="s">
        <v>53</v>
      </c>
      <c r="H584" s="4" t="s">
        <v>54</v>
      </c>
      <c r="I584" s="4"/>
      <c r="J584" s="4"/>
      <c r="K584" s="4">
        <v>227</v>
      </c>
      <c r="L584" s="4">
        <v>6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06" x14ac:dyDescent="0.2">
      <c r="A585" s="4">
        <v>50</v>
      </c>
      <c r="B585" s="4">
        <v>0</v>
      </c>
      <c r="C585" s="4">
        <v>0</v>
      </c>
      <c r="D585" s="4">
        <v>1</v>
      </c>
      <c r="E585" s="4">
        <v>228</v>
      </c>
      <c r="F585" s="4">
        <f>ROUND(Source!AY577,O585)</f>
        <v>2110.6799999999998</v>
      </c>
      <c r="G585" s="4" t="s">
        <v>55</v>
      </c>
      <c r="H585" s="4" t="s">
        <v>56</v>
      </c>
      <c r="I585" s="4"/>
      <c r="J585" s="4"/>
      <c r="K585" s="4">
        <v>228</v>
      </c>
      <c r="L585" s="4">
        <v>7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2110.6799999999998</v>
      </c>
      <c r="X585" s="4">
        <v>1</v>
      </c>
      <c r="Y585" s="4">
        <v>2110.6799999999998</v>
      </c>
      <c r="Z585" s="4"/>
      <c r="AA585" s="4"/>
      <c r="AB585" s="4"/>
    </row>
    <row r="586" spans="1:206" x14ac:dyDescent="0.2">
      <c r="A586" s="4">
        <v>50</v>
      </c>
      <c r="B586" s="4">
        <v>0</v>
      </c>
      <c r="C586" s="4">
        <v>0</v>
      </c>
      <c r="D586" s="4">
        <v>1</v>
      </c>
      <c r="E586" s="4">
        <v>216</v>
      </c>
      <c r="F586" s="4">
        <f>ROUND(Source!AP577,O586)</f>
        <v>0</v>
      </c>
      <c r="G586" s="4" t="s">
        <v>57</v>
      </c>
      <c r="H586" s="4" t="s">
        <v>58</v>
      </c>
      <c r="I586" s="4"/>
      <c r="J586" s="4"/>
      <c r="K586" s="4">
        <v>216</v>
      </c>
      <c r="L586" s="4">
        <v>8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06" x14ac:dyDescent="0.2">
      <c r="A587" s="4">
        <v>50</v>
      </c>
      <c r="B587" s="4">
        <v>0</v>
      </c>
      <c r="C587" s="4">
        <v>0</v>
      </c>
      <c r="D587" s="4">
        <v>1</v>
      </c>
      <c r="E587" s="4">
        <v>223</v>
      </c>
      <c r="F587" s="4">
        <f>ROUND(Source!AQ577,O587)</f>
        <v>0</v>
      </c>
      <c r="G587" s="4" t="s">
        <v>59</v>
      </c>
      <c r="H587" s="4" t="s">
        <v>60</v>
      </c>
      <c r="I587" s="4"/>
      <c r="J587" s="4"/>
      <c r="K587" s="4">
        <v>223</v>
      </c>
      <c r="L587" s="4">
        <v>9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06" x14ac:dyDescent="0.2">
      <c r="A588" s="4">
        <v>50</v>
      </c>
      <c r="B588" s="4">
        <v>0</v>
      </c>
      <c r="C588" s="4">
        <v>0</v>
      </c>
      <c r="D588" s="4">
        <v>1</v>
      </c>
      <c r="E588" s="4">
        <v>229</v>
      </c>
      <c r="F588" s="4">
        <f>ROUND(Source!AZ577,O588)</f>
        <v>0</v>
      </c>
      <c r="G588" s="4" t="s">
        <v>61</v>
      </c>
      <c r="H588" s="4" t="s">
        <v>62</v>
      </c>
      <c r="I588" s="4"/>
      <c r="J588" s="4"/>
      <c r="K588" s="4">
        <v>229</v>
      </c>
      <c r="L588" s="4">
        <v>10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06" x14ac:dyDescent="0.2">
      <c r="A589" s="4">
        <v>50</v>
      </c>
      <c r="B589" s="4">
        <v>0</v>
      </c>
      <c r="C589" s="4">
        <v>0</v>
      </c>
      <c r="D589" s="4">
        <v>1</v>
      </c>
      <c r="E589" s="4">
        <v>203</v>
      </c>
      <c r="F589" s="4">
        <f>ROUND(Source!Q577,O589)</f>
        <v>130.30000000000001</v>
      </c>
      <c r="G589" s="4" t="s">
        <v>63</v>
      </c>
      <c r="H589" s="4" t="s">
        <v>64</v>
      </c>
      <c r="I589" s="4"/>
      <c r="J589" s="4"/>
      <c r="K589" s="4">
        <v>203</v>
      </c>
      <c r="L589" s="4">
        <v>11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130.30000000000001</v>
      </c>
      <c r="X589" s="4">
        <v>1</v>
      </c>
      <c r="Y589" s="4">
        <v>130.30000000000001</v>
      </c>
      <c r="Z589" s="4"/>
      <c r="AA589" s="4"/>
      <c r="AB589" s="4"/>
    </row>
    <row r="590" spans="1:206" x14ac:dyDescent="0.2">
      <c r="A590" s="4">
        <v>50</v>
      </c>
      <c r="B590" s="4">
        <v>0</v>
      </c>
      <c r="C590" s="4">
        <v>0</v>
      </c>
      <c r="D590" s="4">
        <v>1</v>
      </c>
      <c r="E590" s="4">
        <v>231</v>
      </c>
      <c r="F590" s="4">
        <f>ROUND(Source!BB577,O590)</f>
        <v>0</v>
      </c>
      <c r="G590" s="4" t="s">
        <v>65</v>
      </c>
      <c r="H590" s="4" t="s">
        <v>66</v>
      </c>
      <c r="I590" s="4"/>
      <c r="J590" s="4"/>
      <c r="K590" s="4">
        <v>231</v>
      </c>
      <c r="L590" s="4">
        <v>12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06" x14ac:dyDescent="0.2">
      <c r="A591" s="4">
        <v>50</v>
      </c>
      <c r="B591" s="4">
        <v>0</v>
      </c>
      <c r="C591" s="4">
        <v>0</v>
      </c>
      <c r="D591" s="4">
        <v>1</v>
      </c>
      <c r="E591" s="4">
        <v>204</v>
      </c>
      <c r="F591" s="4">
        <f>ROUND(Source!R577,O591)</f>
        <v>82.62</v>
      </c>
      <c r="G591" s="4" t="s">
        <v>67</v>
      </c>
      <c r="H591" s="4" t="s">
        <v>68</v>
      </c>
      <c r="I591" s="4"/>
      <c r="J591" s="4"/>
      <c r="K591" s="4">
        <v>204</v>
      </c>
      <c r="L591" s="4">
        <v>13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82.62</v>
      </c>
      <c r="X591" s="4">
        <v>1</v>
      </c>
      <c r="Y591" s="4">
        <v>82.62</v>
      </c>
      <c r="Z591" s="4"/>
      <c r="AA591" s="4"/>
      <c r="AB591" s="4"/>
    </row>
    <row r="592" spans="1:206" x14ac:dyDescent="0.2">
      <c r="A592" s="4">
        <v>50</v>
      </c>
      <c r="B592" s="4">
        <v>0</v>
      </c>
      <c r="C592" s="4">
        <v>0</v>
      </c>
      <c r="D592" s="4">
        <v>1</v>
      </c>
      <c r="E592" s="4">
        <v>205</v>
      </c>
      <c r="F592" s="4">
        <f>ROUND(Source!S577,O592)</f>
        <v>151851.10999999999</v>
      </c>
      <c r="G592" s="4" t="s">
        <v>69</v>
      </c>
      <c r="H592" s="4" t="s">
        <v>70</v>
      </c>
      <c r="I592" s="4"/>
      <c r="J592" s="4"/>
      <c r="K592" s="4">
        <v>205</v>
      </c>
      <c r="L592" s="4">
        <v>14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151851.10999999999</v>
      </c>
      <c r="X592" s="4">
        <v>1</v>
      </c>
      <c r="Y592" s="4">
        <v>151851.10999999999</v>
      </c>
      <c r="Z592" s="4"/>
      <c r="AA592" s="4"/>
      <c r="AB592" s="4"/>
    </row>
    <row r="593" spans="1:88" x14ac:dyDescent="0.2">
      <c r="A593" s="4">
        <v>50</v>
      </c>
      <c r="B593" s="4">
        <v>0</v>
      </c>
      <c r="C593" s="4">
        <v>0</v>
      </c>
      <c r="D593" s="4">
        <v>1</v>
      </c>
      <c r="E593" s="4">
        <v>232</v>
      </c>
      <c r="F593" s="4">
        <f>ROUND(Source!BC577,O593)</f>
        <v>0</v>
      </c>
      <c r="G593" s="4" t="s">
        <v>71</v>
      </c>
      <c r="H593" s="4" t="s">
        <v>72</v>
      </c>
      <c r="I593" s="4"/>
      <c r="J593" s="4"/>
      <c r="K593" s="4">
        <v>232</v>
      </c>
      <c r="L593" s="4">
        <v>15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0</v>
      </c>
      <c r="X593" s="4">
        <v>1</v>
      </c>
      <c r="Y593" s="4">
        <v>0</v>
      </c>
      <c r="Z593" s="4"/>
      <c r="AA593" s="4"/>
      <c r="AB593" s="4"/>
    </row>
    <row r="594" spans="1:88" x14ac:dyDescent="0.2">
      <c r="A594" s="4">
        <v>50</v>
      </c>
      <c r="B594" s="4">
        <v>0</v>
      </c>
      <c r="C594" s="4">
        <v>0</v>
      </c>
      <c r="D594" s="4">
        <v>1</v>
      </c>
      <c r="E594" s="4">
        <v>214</v>
      </c>
      <c r="F594" s="4">
        <f>ROUND(Source!AS577,O594)</f>
        <v>0</v>
      </c>
      <c r="G594" s="4" t="s">
        <v>73</v>
      </c>
      <c r="H594" s="4" t="s">
        <v>74</v>
      </c>
      <c r="I594" s="4"/>
      <c r="J594" s="4"/>
      <c r="K594" s="4">
        <v>214</v>
      </c>
      <c r="L594" s="4">
        <v>16</v>
      </c>
      <c r="M594" s="4">
        <v>3</v>
      </c>
      <c r="N594" s="4" t="s">
        <v>3</v>
      </c>
      <c r="O594" s="4">
        <v>2</v>
      </c>
      <c r="P594" s="4"/>
      <c r="Q594" s="4"/>
      <c r="R594" s="4"/>
      <c r="S594" s="4"/>
      <c r="T594" s="4"/>
      <c r="U594" s="4"/>
      <c r="V594" s="4"/>
      <c r="W594" s="4">
        <v>0</v>
      </c>
      <c r="X594" s="4">
        <v>1</v>
      </c>
      <c r="Y594" s="4">
        <v>0</v>
      </c>
      <c r="Z594" s="4"/>
      <c r="AA594" s="4"/>
      <c r="AB594" s="4"/>
    </row>
    <row r="595" spans="1:88" x14ac:dyDescent="0.2">
      <c r="A595" s="4">
        <v>50</v>
      </c>
      <c r="B595" s="4">
        <v>0</v>
      </c>
      <c r="C595" s="4">
        <v>0</v>
      </c>
      <c r="D595" s="4">
        <v>1</v>
      </c>
      <c r="E595" s="4">
        <v>215</v>
      </c>
      <c r="F595" s="4">
        <f>ROUND(Source!AT577,O595)</f>
        <v>0</v>
      </c>
      <c r="G595" s="4" t="s">
        <v>75</v>
      </c>
      <c r="H595" s="4" t="s">
        <v>76</v>
      </c>
      <c r="I595" s="4"/>
      <c r="J595" s="4"/>
      <c r="K595" s="4">
        <v>215</v>
      </c>
      <c r="L595" s="4">
        <v>17</v>
      </c>
      <c r="M595" s="4">
        <v>3</v>
      </c>
      <c r="N595" s="4" t="s">
        <v>3</v>
      </c>
      <c r="O595" s="4">
        <v>2</v>
      </c>
      <c r="P595" s="4"/>
      <c r="Q595" s="4"/>
      <c r="R595" s="4"/>
      <c r="S595" s="4"/>
      <c r="T595" s="4"/>
      <c r="U595" s="4"/>
      <c r="V595" s="4"/>
      <c r="W595" s="4">
        <v>0</v>
      </c>
      <c r="X595" s="4">
        <v>1</v>
      </c>
      <c r="Y595" s="4">
        <v>0</v>
      </c>
      <c r="Z595" s="4"/>
      <c r="AA595" s="4"/>
      <c r="AB595" s="4"/>
    </row>
    <row r="596" spans="1:88" x14ac:dyDescent="0.2">
      <c r="A596" s="4">
        <v>50</v>
      </c>
      <c r="B596" s="4">
        <v>0</v>
      </c>
      <c r="C596" s="4">
        <v>0</v>
      </c>
      <c r="D596" s="4">
        <v>1</v>
      </c>
      <c r="E596" s="4">
        <v>217</v>
      </c>
      <c r="F596" s="4">
        <f>ROUND(Source!AU577,O596)</f>
        <v>275662.23</v>
      </c>
      <c r="G596" s="4" t="s">
        <v>77</v>
      </c>
      <c r="H596" s="4" t="s">
        <v>78</v>
      </c>
      <c r="I596" s="4"/>
      <c r="J596" s="4"/>
      <c r="K596" s="4">
        <v>217</v>
      </c>
      <c r="L596" s="4">
        <v>18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275662.23</v>
      </c>
      <c r="X596" s="4">
        <v>1</v>
      </c>
      <c r="Y596" s="4">
        <v>275662.23</v>
      </c>
      <c r="Z596" s="4"/>
      <c r="AA596" s="4"/>
      <c r="AB596" s="4"/>
    </row>
    <row r="597" spans="1:88" x14ac:dyDescent="0.2">
      <c r="A597" s="4">
        <v>50</v>
      </c>
      <c r="B597" s="4">
        <v>0</v>
      </c>
      <c r="C597" s="4">
        <v>0</v>
      </c>
      <c r="D597" s="4">
        <v>1</v>
      </c>
      <c r="E597" s="4">
        <v>230</v>
      </c>
      <c r="F597" s="4">
        <f>ROUND(Source!BA577,O597)</f>
        <v>0</v>
      </c>
      <c r="G597" s="4" t="s">
        <v>79</v>
      </c>
      <c r="H597" s="4" t="s">
        <v>80</v>
      </c>
      <c r="I597" s="4"/>
      <c r="J597" s="4"/>
      <c r="K597" s="4">
        <v>230</v>
      </c>
      <c r="L597" s="4">
        <v>19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0</v>
      </c>
      <c r="X597" s="4">
        <v>1</v>
      </c>
      <c r="Y597" s="4">
        <v>0</v>
      </c>
      <c r="Z597" s="4"/>
      <c r="AA597" s="4"/>
      <c r="AB597" s="4"/>
    </row>
    <row r="598" spans="1:88" x14ac:dyDescent="0.2">
      <c r="A598" s="4">
        <v>50</v>
      </c>
      <c r="B598" s="4">
        <v>0</v>
      </c>
      <c r="C598" s="4">
        <v>0</v>
      </c>
      <c r="D598" s="4">
        <v>1</v>
      </c>
      <c r="E598" s="4">
        <v>206</v>
      </c>
      <c r="F598" s="4">
        <f>ROUND(Source!T577,O598)</f>
        <v>0</v>
      </c>
      <c r="G598" s="4" t="s">
        <v>81</v>
      </c>
      <c r="H598" s="4" t="s">
        <v>82</v>
      </c>
      <c r="I598" s="4"/>
      <c r="J598" s="4"/>
      <c r="K598" s="4">
        <v>206</v>
      </c>
      <c r="L598" s="4">
        <v>20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0</v>
      </c>
      <c r="X598" s="4">
        <v>1</v>
      </c>
      <c r="Y598" s="4">
        <v>0</v>
      </c>
      <c r="Z598" s="4"/>
      <c r="AA598" s="4"/>
      <c r="AB598" s="4"/>
    </row>
    <row r="599" spans="1:88" x14ac:dyDescent="0.2">
      <c r="A599" s="4">
        <v>50</v>
      </c>
      <c r="B599" s="4">
        <v>0</v>
      </c>
      <c r="C599" s="4">
        <v>0</v>
      </c>
      <c r="D599" s="4">
        <v>1</v>
      </c>
      <c r="E599" s="4">
        <v>207</v>
      </c>
      <c r="F599" s="4">
        <f>Source!U577</f>
        <v>269.64080000000001</v>
      </c>
      <c r="G599" s="4" t="s">
        <v>83</v>
      </c>
      <c r="H599" s="4" t="s">
        <v>84</v>
      </c>
      <c r="I599" s="4"/>
      <c r="J599" s="4"/>
      <c r="K599" s="4">
        <v>207</v>
      </c>
      <c r="L599" s="4">
        <v>21</v>
      </c>
      <c r="M599" s="4">
        <v>3</v>
      </c>
      <c r="N599" s="4" t="s">
        <v>3</v>
      </c>
      <c r="O599" s="4">
        <v>-1</v>
      </c>
      <c r="P599" s="4"/>
      <c r="Q599" s="4"/>
      <c r="R599" s="4"/>
      <c r="S599" s="4"/>
      <c r="T599" s="4"/>
      <c r="U599" s="4"/>
      <c r="V599" s="4"/>
      <c r="W599" s="4">
        <v>269.64079999999996</v>
      </c>
      <c r="X599" s="4">
        <v>1</v>
      </c>
      <c r="Y599" s="4">
        <v>269.64079999999996</v>
      </c>
      <c r="Z599" s="4"/>
      <c r="AA599" s="4"/>
      <c r="AB599" s="4"/>
    </row>
    <row r="600" spans="1:88" x14ac:dyDescent="0.2">
      <c r="A600" s="4">
        <v>50</v>
      </c>
      <c r="B600" s="4">
        <v>0</v>
      </c>
      <c r="C600" s="4">
        <v>0</v>
      </c>
      <c r="D600" s="4">
        <v>1</v>
      </c>
      <c r="E600" s="4">
        <v>208</v>
      </c>
      <c r="F600" s="4">
        <f>Source!V577</f>
        <v>0</v>
      </c>
      <c r="G600" s="4" t="s">
        <v>85</v>
      </c>
      <c r="H600" s="4" t="s">
        <v>86</v>
      </c>
      <c r="I600" s="4"/>
      <c r="J600" s="4"/>
      <c r="K600" s="4">
        <v>208</v>
      </c>
      <c r="L600" s="4">
        <v>22</v>
      </c>
      <c r="M600" s="4">
        <v>3</v>
      </c>
      <c r="N600" s="4" t="s">
        <v>3</v>
      </c>
      <c r="O600" s="4">
        <v>-1</v>
      </c>
      <c r="P600" s="4"/>
      <c r="Q600" s="4"/>
      <c r="R600" s="4"/>
      <c r="S600" s="4"/>
      <c r="T600" s="4"/>
      <c r="U600" s="4"/>
      <c r="V600" s="4"/>
      <c r="W600" s="4">
        <v>0</v>
      </c>
      <c r="X600" s="4">
        <v>1</v>
      </c>
      <c r="Y600" s="4">
        <v>0</v>
      </c>
      <c r="Z600" s="4"/>
      <c r="AA600" s="4"/>
      <c r="AB600" s="4"/>
    </row>
    <row r="601" spans="1:88" x14ac:dyDescent="0.2">
      <c r="A601" s="4">
        <v>50</v>
      </c>
      <c r="B601" s="4">
        <v>0</v>
      </c>
      <c r="C601" s="4">
        <v>0</v>
      </c>
      <c r="D601" s="4">
        <v>1</v>
      </c>
      <c r="E601" s="4">
        <v>209</v>
      </c>
      <c r="F601" s="4">
        <f>ROUND(Source!W577,O601)</f>
        <v>0</v>
      </c>
      <c r="G601" s="4" t="s">
        <v>87</v>
      </c>
      <c r="H601" s="4" t="s">
        <v>88</v>
      </c>
      <c r="I601" s="4"/>
      <c r="J601" s="4"/>
      <c r="K601" s="4">
        <v>209</v>
      </c>
      <c r="L601" s="4">
        <v>23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0</v>
      </c>
      <c r="X601" s="4">
        <v>1</v>
      </c>
      <c r="Y601" s="4">
        <v>0</v>
      </c>
      <c r="Z601" s="4"/>
      <c r="AA601" s="4"/>
      <c r="AB601" s="4"/>
    </row>
    <row r="602" spans="1:88" x14ac:dyDescent="0.2">
      <c r="A602" s="4">
        <v>50</v>
      </c>
      <c r="B602" s="4">
        <v>0</v>
      </c>
      <c r="C602" s="4">
        <v>0</v>
      </c>
      <c r="D602" s="4">
        <v>1</v>
      </c>
      <c r="E602" s="4">
        <v>233</v>
      </c>
      <c r="F602" s="4">
        <f>ROUND(Source!BD577,O602)</f>
        <v>0</v>
      </c>
      <c r="G602" s="4" t="s">
        <v>89</v>
      </c>
      <c r="H602" s="4" t="s">
        <v>90</v>
      </c>
      <c r="I602" s="4"/>
      <c r="J602" s="4"/>
      <c r="K602" s="4">
        <v>233</v>
      </c>
      <c r="L602" s="4">
        <v>24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0</v>
      </c>
      <c r="X602" s="4">
        <v>1</v>
      </c>
      <c r="Y602" s="4">
        <v>0</v>
      </c>
      <c r="Z602" s="4"/>
      <c r="AA602" s="4"/>
      <c r="AB602" s="4"/>
    </row>
    <row r="603" spans="1:88" x14ac:dyDescent="0.2">
      <c r="A603" s="4">
        <v>50</v>
      </c>
      <c r="B603" s="4">
        <v>0</v>
      </c>
      <c r="C603" s="4">
        <v>0</v>
      </c>
      <c r="D603" s="4">
        <v>1</v>
      </c>
      <c r="E603" s="4">
        <v>210</v>
      </c>
      <c r="F603" s="4">
        <f>ROUND(Source!X577,O603)</f>
        <v>106295.79</v>
      </c>
      <c r="G603" s="4" t="s">
        <v>91</v>
      </c>
      <c r="H603" s="4" t="s">
        <v>92</v>
      </c>
      <c r="I603" s="4"/>
      <c r="J603" s="4"/>
      <c r="K603" s="4">
        <v>210</v>
      </c>
      <c r="L603" s="4">
        <v>25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106295.79</v>
      </c>
      <c r="X603" s="4">
        <v>1</v>
      </c>
      <c r="Y603" s="4">
        <v>106295.79</v>
      </c>
      <c r="Z603" s="4"/>
      <c r="AA603" s="4"/>
      <c r="AB603" s="4"/>
    </row>
    <row r="604" spans="1:88" x14ac:dyDescent="0.2">
      <c r="A604" s="4">
        <v>50</v>
      </c>
      <c r="B604" s="4">
        <v>0</v>
      </c>
      <c r="C604" s="4">
        <v>0</v>
      </c>
      <c r="D604" s="4">
        <v>1</v>
      </c>
      <c r="E604" s="4">
        <v>211</v>
      </c>
      <c r="F604" s="4">
        <f>ROUND(Source!Y577,O604)</f>
        <v>15185.12</v>
      </c>
      <c r="G604" s="4" t="s">
        <v>93</v>
      </c>
      <c r="H604" s="4" t="s">
        <v>94</v>
      </c>
      <c r="I604" s="4"/>
      <c r="J604" s="4"/>
      <c r="K604" s="4">
        <v>211</v>
      </c>
      <c r="L604" s="4">
        <v>26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15185.12</v>
      </c>
      <c r="X604" s="4">
        <v>1</v>
      </c>
      <c r="Y604" s="4">
        <v>15185.12</v>
      </c>
      <c r="Z604" s="4"/>
      <c r="AA604" s="4"/>
      <c r="AB604" s="4"/>
    </row>
    <row r="605" spans="1:88" x14ac:dyDescent="0.2">
      <c r="A605" s="4">
        <v>50</v>
      </c>
      <c r="B605" s="4">
        <v>0</v>
      </c>
      <c r="C605" s="4">
        <v>0</v>
      </c>
      <c r="D605" s="4">
        <v>1</v>
      </c>
      <c r="E605" s="4">
        <v>224</v>
      </c>
      <c r="F605" s="4">
        <f>ROUND(Source!AR577,O605)</f>
        <v>275662.23</v>
      </c>
      <c r="G605" s="4" t="s">
        <v>95</v>
      </c>
      <c r="H605" s="4" t="s">
        <v>96</v>
      </c>
      <c r="I605" s="4"/>
      <c r="J605" s="4"/>
      <c r="K605" s="4">
        <v>224</v>
      </c>
      <c r="L605" s="4">
        <v>27</v>
      </c>
      <c r="M605" s="4">
        <v>3</v>
      </c>
      <c r="N605" s="4" t="s">
        <v>3</v>
      </c>
      <c r="O605" s="4">
        <v>2</v>
      </c>
      <c r="P605" s="4"/>
      <c r="Q605" s="4"/>
      <c r="R605" s="4"/>
      <c r="S605" s="4"/>
      <c r="T605" s="4"/>
      <c r="U605" s="4"/>
      <c r="V605" s="4"/>
      <c r="W605" s="4">
        <v>275662.23</v>
      </c>
      <c r="X605" s="4">
        <v>1</v>
      </c>
      <c r="Y605" s="4">
        <v>275662.23</v>
      </c>
      <c r="Z605" s="4"/>
      <c r="AA605" s="4"/>
      <c r="AB605" s="4"/>
    </row>
    <row r="607" spans="1:88" x14ac:dyDescent="0.2">
      <c r="A607" s="1">
        <v>5</v>
      </c>
      <c r="B607" s="1">
        <v>1</v>
      </c>
      <c r="C607" s="1"/>
      <c r="D607" s="1">
        <f>ROW(A619)</f>
        <v>619</v>
      </c>
      <c r="E607" s="1"/>
      <c r="F607" s="1" t="s">
        <v>14</v>
      </c>
      <c r="G607" s="1" t="s">
        <v>302</v>
      </c>
      <c r="H607" s="1" t="s">
        <v>3</v>
      </c>
      <c r="I607" s="1">
        <v>0</v>
      </c>
      <c r="J607" s="1"/>
      <c r="K607" s="1">
        <v>-1</v>
      </c>
      <c r="L607" s="1"/>
      <c r="M607" s="1" t="s">
        <v>3</v>
      </c>
      <c r="N607" s="1"/>
      <c r="O607" s="1"/>
      <c r="P607" s="1"/>
      <c r="Q607" s="1"/>
      <c r="R607" s="1"/>
      <c r="S607" s="1">
        <v>0</v>
      </c>
      <c r="T607" s="1"/>
      <c r="U607" s="1" t="s">
        <v>3</v>
      </c>
      <c r="V607" s="1">
        <v>0</v>
      </c>
      <c r="W607" s="1"/>
      <c r="X607" s="1"/>
      <c r="Y607" s="1"/>
      <c r="Z607" s="1"/>
      <c r="AA607" s="1"/>
      <c r="AB607" s="1" t="s">
        <v>3</v>
      </c>
      <c r="AC607" s="1" t="s">
        <v>3</v>
      </c>
      <c r="AD607" s="1" t="s">
        <v>3</v>
      </c>
      <c r="AE607" s="1" t="s">
        <v>3</v>
      </c>
      <c r="AF607" s="1" t="s">
        <v>3</v>
      </c>
      <c r="AG607" s="1" t="s">
        <v>3</v>
      </c>
      <c r="AH607" s="1"/>
      <c r="AI607" s="1"/>
      <c r="AJ607" s="1"/>
      <c r="AK607" s="1"/>
      <c r="AL607" s="1"/>
      <c r="AM607" s="1"/>
      <c r="AN607" s="1"/>
      <c r="AO607" s="1"/>
      <c r="AP607" s="1" t="s">
        <v>3</v>
      </c>
      <c r="AQ607" s="1" t="s">
        <v>3</v>
      </c>
      <c r="AR607" s="1" t="s">
        <v>3</v>
      </c>
      <c r="AS607" s="1"/>
      <c r="AT607" s="1"/>
      <c r="AU607" s="1"/>
      <c r="AV607" s="1"/>
      <c r="AW607" s="1"/>
      <c r="AX607" s="1"/>
      <c r="AY607" s="1"/>
      <c r="AZ607" s="1" t="s">
        <v>3</v>
      </c>
      <c r="BA607" s="1"/>
      <c r="BB607" s="1" t="s">
        <v>3</v>
      </c>
      <c r="BC607" s="1" t="s">
        <v>3</v>
      </c>
      <c r="BD607" s="1" t="s">
        <v>3</v>
      </c>
      <c r="BE607" s="1" t="s">
        <v>3</v>
      </c>
      <c r="BF607" s="1" t="s">
        <v>3</v>
      </c>
      <c r="BG607" s="1" t="s">
        <v>3</v>
      </c>
      <c r="BH607" s="1" t="s">
        <v>3</v>
      </c>
      <c r="BI607" s="1" t="s">
        <v>3</v>
      </c>
      <c r="BJ607" s="1" t="s">
        <v>3</v>
      </c>
      <c r="BK607" s="1" t="s">
        <v>3</v>
      </c>
      <c r="BL607" s="1" t="s">
        <v>3</v>
      </c>
      <c r="BM607" s="1" t="s">
        <v>3</v>
      </c>
      <c r="BN607" s="1" t="s">
        <v>3</v>
      </c>
      <c r="BO607" s="1" t="s">
        <v>3</v>
      </c>
      <c r="BP607" s="1" t="s">
        <v>3</v>
      </c>
      <c r="BQ607" s="1"/>
      <c r="BR607" s="1"/>
      <c r="BS607" s="1"/>
      <c r="BT607" s="1"/>
      <c r="BU607" s="1"/>
      <c r="BV607" s="1"/>
      <c r="BW607" s="1"/>
      <c r="BX607" s="1">
        <v>0</v>
      </c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>
        <v>0</v>
      </c>
    </row>
    <row r="609" spans="1:245" x14ac:dyDescent="0.2">
      <c r="A609" s="2">
        <v>52</v>
      </c>
      <c r="B609" s="2">
        <f t="shared" ref="B609:G609" si="324">B619</f>
        <v>1</v>
      </c>
      <c r="C609" s="2">
        <f t="shared" si="324"/>
        <v>5</v>
      </c>
      <c r="D609" s="2">
        <f t="shared" si="324"/>
        <v>607</v>
      </c>
      <c r="E609" s="2">
        <f t="shared" si="324"/>
        <v>0</v>
      </c>
      <c r="F609" s="2" t="str">
        <f t="shared" si="324"/>
        <v>Новый подраздел</v>
      </c>
      <c r="G609" s="2" t="str">
        <f t="shared" si="324"/>
        <v>Электроустановочные изделия</v>
      </c>
      <c r="H609" s="2"/>
      <c r="I609" s="2"/>
      <c r="J609" s="2"/>
      <c r="K609" s="2"/>
      <c r="L609" s="2"/>
      <c r="M609" s="2"/>
      <c r="N609" s="2"/>
      <c r="O609" s="2">
        <f t="shared" ref="O609:AT609" si="325">O619</f>
        <v>153470.37</v>
      </c>
      <c r="P609" s="2">
        <f t="shared" si="325"/>
        <v>1531.19</v>
      </c>
      <c r="Q609" s="2">
        <f t="shared" si="325"/>
        <v>620.23</v>
      </c>
      <c r="R609" s="2">
        <f t="shared" si="325"/>
        <v>393.27</v>
      </c>
      <c r="S609" s="2">
        <f t="shared" si="325"/>
        <v>151318.95000000001</v>
      </c>
      <c r="T609" s="2">
        <f t="shared" si="325"/>
        <v>0</v>
      </c>
      <c r="U609" s="2">
        <f t="shared" si="325"/>
        <v>245.59800000000001</v>
      </c>
      <c r="V609" s="2">
        <f t="shared" si="325"/>
        <v>0</v>
      </c>
      <c r="W609" s="2">
        <f t="shared" si="325"/>
        <v>0</v>
      </c>
      <c r="X609" s="2">
        <f t="shared" si="325"/>
        <v>105923.26</v>
      </c>
      <c r="Y609" s="2">
        <f t="shared" si="325"/>
        <v>15131.9</v>
      </c>
      <c r="Z609" s="2">
        <f t="shared" si="325"/>
        <v>0</v>
      </c>
      <c r="AA609" s="2">
        <f t="shared" si="325"/>
        <v>0</v>
      </c>
      <c r="AB609" s="2">
        <f t="shared" si="325"/>
        <v>153470.37</v>
      </c>
      <c r="AC609" s="2">
        <f t="shared" si="325"/>
        <v>1531.19</v>
      </c>
      <c r="AD609" s="2">
        <f t="shared" si="325"/>
        <v>620.23</v>
      </c>
      <c r="AE609" s="2">
        <f t="shared" si="325"/>
        <v>393.27</v>
      </c>
      <c r="AF609" s="2">
        <f t="shared" si="325"/>
        <v>151318.95000000001</v>
      </c>
      <c r="AG609" s="2">
        <f t="shared" si="325"/>
        <v>0</v>
      </c>
      <c r="AH609" s="2">
        <f t="shared" si="325"/>
        <v>245.59800000000001</v>
      </c>
      <c r="AI609" s="2">
        <f t="shared" si="325"/>
        <v>0</v>
      </c>
      <c r="AJ609" s="2">
        <f t="shared" si="325"/>
        <v>0</v>
      </c>
      <c r="AK609" s="2">
        <f t="shared" si="325"/>
        <v>105923.26</v>
      </c>
      <c r="AL609" s="2">
        <f t="shared" si="325"/>
        <v>15131.9</v>
      </c>
      <c r="AM609" s="2">
        <f t="shared" si="325"/>
        <v>0</v>
      </c>
      <c r="AN609" s="2">
        <f t="shared" si="325"/>
        <v>0</v>
      </c>
      <c r="AO609" s="2">
        <f t="shared" si="325"/>
        <v>0</v>
      </c>
      <c r="AP609" s="2">
        <f t="shared" si="325"/>
        <v>0</v>
      </c>
      <c r="AQ609" s="2">
        <f t="shared" si="325"/>
        <v>0</v>
      </c>
      <c r="AR609" s="2">
        <f t="shared" si="325"/>
        <v>274950.26</v>
      </c>
      <c r="AS609" s="2">
        <f t="shared" si="325"/>
        <v>0</v>
      </c>
      <c r="AT609" s="2">
        <f t="shared" si="325"/>
        <v>0</v>
      </c>
      <c r="AU609" s="2">
        <f t="shared" ref="AU609:BZ609" si="326">AU619</f>
        <v>274950.26</v>
      </c>
      <c r="AV609" s="2">
        <f t="shared" si="326"/>
        <v>1531.19</v>
      </c>
      <c r="AW609" s="2">
        <f t="shared" si="326"/>
        <v>1531.19</v>
      </c>
      <c r="AX609" s="2">
        <f t="shared" si="326"/>
        <v>0</v>
      </c>
      <c r="AY609" s="2">
        <f t="shared" si="326"/>
        <v>1531.19</v>
      </c>
      <c r="AZ609" s="2">
        <f t="shared" si="326"/>
        <v>0</v>
      </c>
      <c r="BA609" s="2">
        <f t="shared" si="326"/>
        <v>0</v>
      </c>
      <c r="BB609" s="2">
        <f t="shared" si="326"/>
        <v>0</v>
      </c>
      <c r="BC609" s="2">
        <f t="shared" si="326"/>
        <v>0</v>
      </c>
      <c r="BD609" s="2">
        <f t="shared" si="326"/>
        <v>0</v>
      </c>
      <c r="BE609" s="2">
        <f t="shared" si="326"/>
        <v>0</v>
      </c>
      <c r="BF609" s="2">
        <f t="shared" si="326"/>
        <v>0</v>
      </c>
      <c r="BG609" s="2">
        <f t="shared" si="326"/>
        <v>0</v>
      </c>
      <c r="BH609" s="2">
        <f t="shared" si="326"/>
        <v>0</v>
      </c>
      <c r="BI609" s="2">
        <f t="shared" si="326"/>
        <v>0</v>
      </c>
      <c r="BJ609" s="2">
        <f t="shared" si="326"/>
        <v>0</v>
      </c>
      <c r="BK609" s="2">
        <f t="shared" si="326"/>
        <v>0</v>
      </c>
      <c r="BL609" s="2">
        <f t="shared" si="326"/>
        <v>0</v>
      </c>
      <c r="BM609" s="2">
        <f t="shared" si="326"/>
        <v>0</v>
      </c>
      <c r="BN609" s="2">
        <f t="shared" si="326"/>
        <v>0</v>
      </c>
      <c r="BO609" s="2">
        <f t="shared" si="326"/>
        <v>0</v>
      </c>
      <c r="BP609" s="2">
        <f t="shared" si="326"/>
        <v>0</v>
      </c>
      <c r="BQ609" s="2">
        <f t="shared" si="326"/>
        <v>0</v>
      </c>
      <c r="BR609" s="2">
        <f t="shared" si="326"/>
        <v>0</v>
      </c>
      <c r="BS609" s="2">
        <f t="shared" si="326"/>
        <v>0</v>
      </c>
      <c r="BT609" s="2">
        <f t="shared" si="326"/>
        <v>0</v>
      </c>
      <c r="BU609" s="2">
        <f t="shared" si="326"/>
        <v>0</v>
      </c>
      <c r="BV609" s="2">
        <f t="shared" si="326"/>
        <v>0</v>
      </c>
      <c r="BW609" s="2">
        <f t="shared" si="326"/>
        <v>0</v>
      </c>
      <c r="BX609" s="2">
        <f t="shared" si="326"/>
        <v>0</v>
      </c>
      <c r="BY609" s="2">
        <f t="shared" si="326"/>
        <v>0</v>
      </c>
      <c r="BZ609" s="2">
        <f t="shared" si="326"/>
        <v>0</v>
      </c>
      <c r="CA609" s="2">
        <f t="shared" ref="CA609:DF609" si="327">CA619</f>
        <v>274950.26</v>
      </c>
      <c r="CB609" s="2">
        <f t="shared" si="327"/>
        <v>0</v>
      </c>
      <c r="CC609" s="2">
        <f t="shared" si="327"/>
        <v>0</v>
      </c>
      <c r="CD609" s="2">
        <f t="shared" si="327"/>
        <v>274950.26</v>
      </c>
      <c r="CE609" s="2">
        <f t="shared" si="327"/>
        <v>1531.19</v>
      </c>
      <c r="CF609" s="2">
        <f t="shared" si="327"/>
        <v>1531.19</v>
      </c>
      <c r="CG609" s="2">
        <f t="shared" si="327"/>
        <v>0</v>
      </c>
      <c r="CH609" s="2">
        <f t="shared" si="327"/>
        <v>1531.19</v>
      </c>
      <c r="CI609" s="2">
        <f t="shared" si="327"/>
        <v>0</v>
      </c>
      <c r="CJ609" s="2">
        <f t="shared" si="327"/>
        <v>0</v>
      </c>
      <c r="CK609" s="2">
        <f t="shared" si="327"/>
        <v>0</v>
      </c>
      <c r="CL609" s="2">
        <f t="shared" si="327"/>
        <v>0</v>
      </c>
      <c r="CM609" s="2">
        <f t="shared" si="327"/>
        <v>0</v>
      </c>
      <c r="CN609" s="2">
        <f t="shared" si="327"/>
        <v>0</v>
      </c>
      <c r="CO609" s="2">
        <f t="shared" si="327"/>
        <v>0</v>
      </c>
      <c r="CP609" s="2">
        <f t="shared" si="327"/>
        <v>0</v>
      </c>
      <c r="CQ609" s="2">
        <f t="shared" si="327"/>
        <v>0</v>
      </c>
      <c r="CR609" s="2">
        <f t="shared" si="327"/>
        <v>0</v>
      </c>
      <c r="CS609" s="2">
        <f t="shared" si="327"/>
        <v>0</v>
      </c>
      <c r="CT609" s="2">
        <f t="shared" si="327"/>
        <v>0</v>
      </c>
      <c r="CU609" s="2">
        <f t="shared" si="327"/>
        <v>0</v>
      </c>
      <c r="CV609" s="2">
        <f t="shared" si="327"/>
        <v>0</v>
      </c>
      <c r="CW609" s="2">
        <f t="shared" si="327"/>
        <v>0</v>
      </c>
      <c r="CX609" s="2">
        <f t="shared" si="327"/>
        <v>0</v>
      </c>
      <c r="CY609" s="2">
        <f t="shared" si="327"/>
        <v>0</v>
      </c>
      <c r="CZ609" s="2">
        <f t="shared" si="327"/>
        <v>0</v>
      </c>
      <c r="DA609" s="2">
        <f t="shared" si="327"/>
        <v>0</v>
      </c>
      <c r="DB609" s="2">
        <f t="shared" si="327"/>
        <v>0</v>
      </c>
      <c r="DC609" s="2">
        <f t="shared" si="327"/>
        <v>0</v>
      </c>
      <c r="DD609" s="2">
        <f t="shared" si="327"/>
        <v>0</v>
      </c>
      <c r="DE609" s="2">
        <f t="shared" si="327"/>
        <v>0</v>
      </c>
      <c r="DF609" s="2">
        <f t="shared" si="327"/>
        <v>0</v>
      </c>
      <c r="DG609" s="3">
        <f t="shared" ref="DG609:EL609" si="328">DG619</f>
        <v>0</v>
      </c>
      <c r="DH609" s="3">
        <f t="shared" si="328"/>
        <v>0</v>
      </c>
      <c r="DI609" s="3">
        <f t="shared" si="328"/>
        <v>0</v>
      </c>
      <c r="DJ609" s="3">
        <f t="shared" si="328"/>
        <v>0</v>
      </c>
      <c r="DK609" s="3">
        <f t="shared" si="328"/>
        <v>0</v>
      </c>
      <c r="DL609" s="3">
        <f t="shared" si="328"/>
        <v>0</v>
      </c>
      <c r="DM609" s="3">
        <f t="shared" si="328"/>
        <v>0</v>
      </c>
      <c r="DN609" s="3">
        <f t="shared" si="328"/>
        <v>0</v>
      </c>
      <c r="DO609" s="3">
        <f t="shared" si="328"/>
        <v>0</v>
      </c>
      <c r="DP609" s="3">
        <f t="shared" si="328"/>
        <v>0</v>
      </c>
      <c r="DQ609" s="3">
        <f t="shared" si="328"/>
        <v>0</v>
      </c>
      <c r="DR609" s="3">
        <f t="shared" si="328"/>
        <v>0</v>
      </c>
      <c r="DS609" s="3">
        <f t="shared" si="328"/>
        <v>0</v>
      </c>
      <c r="DT609" s="3">
        <f t="shared" si="328"/>
        <v>0</v>
      </c>
      <c r="DU609" s="3">
        <f t="shared" si="328"/>
        <v>0</v>
      </c>
      <c r="DV609" s="3">
        <f t="shared" si="328"/>
        <v>0</v>
      </c>
      <c r="DW609" s="3">
        <f t="shared" si="328"/>
        <v>0</v>
      </c>
      <c r="DX609" s="3">
        <f t="shared" si="328"/>
        <v>0</v>
      </c>
      <c r="DY609" s="3">
        <f t="shared" si="328"/>
        <v>0</v>
      </c>
      <c r="DZ609" s="3">
        <f t="shared" si="328"/>
        <v>0</v>
      </c>
      <c r="EA609" s="3">
        <f t="shared" si="328"/>
        <v>0</v>
      </c>
      <c r="EB609" s="3">
        <f t="shared" si="328"/>
        <v>0</v>
      </c>
      <c r="EC609" s="3">
        <f t="shared" si="328"/>
        <v>0</v>
      </c>
      <c r="ED609" s="3">
        <f t="shared" si="328"/>
        <v>0</v>
      </c>
      <c r="EE609" s="3">
        <f t="shared" si="328"/>
        <v>0</v>
      </c>
      <c r="EF609" s="3">
        <f t="shared" si="328"/>
        <v>0</v>
      </c>
      <c r="EG609" s="3">
        <f t="shared" si="328"/>
        <v>0</v>
      </c>
      <c r="EH609" s="3">
        <f t="shared" si="328"/>
        <v>0</v>
      </c>
      <c r="EI609" s="3">
        <f t="shared" si="328"/>
        <v>0</v>
      </c>
      <c r="EJ609" s="3">
        <f t="shared" si="328"/>
        <v>0</v>
      </c>
      <c r="EK609" s="3">
        <f t="shared" si="328"/>
        <v>0</v>
      </c>
      <c r="EL609" s="3">
        <f t="shared" si="328"/>
        <v>0</v>
      </c>
      <c r="EM609" s="3">
        <f t="shared" ref="EM609:FR609" si="329">EM619</f>
        <v>0</v>
      </c>
      <c r="EN609" s="3">
        <f t="shared" si="329"/>
        <v>0</v>
      </c>
      <c r="EO609" s="3">
        <f t="shared" si="329"/>
        <v>0</v>
      </c>
      <c r="EP609" s="3">
        <f t="shared" si="329"/>
        <v>0</v>
      </c>
      <c r="EQ609" s="3">
        <f t="shared" si="329"/>
        <v>0</v>
      </c>
      <c r="ER609" s="3">
        <f t="shared" si="329"/>
        <v>0</v>
      </c>
      <c r="ES609" s="3">
        <f t="shared" si="329"/>
        <v>0</v>
      </c>
      <c r="ET609" s="3">
        <f t="shared" si="329"/>
        <v>0</v>
      </c>
      <c r="EU609" s="3">
        <f t="shared" si="329"/>
        <v>0</v>
      </c>
      <c r="EV609" s="3">
        <f t="shared" si="329"/>
        <v>0</v>
      </c>
      <c r="EW609" s="3">
        <f t="shared" si="329"/>
        <v>0</v>
      </c>
      <c r="EX609" s="3">
        <f t="shared" si="329"/>
        <v>0</v>
      </c>
      <c r="EY609" s="3">
        <f t="shared" si="329"/>
        <v>0</v>
      </c>
      <c r="EZ609" s="3">
        <f t="shared" si="329"/>
        <v>0</v>
      </c>
      <c r="FA609" s="3">
        <f t="shared" si="329"/>
        <v>0</v>
      </c>
      <c r="FB609" s="3">
        <f t="shared" si="329"/>
        <v>0</v>
      </c>
      <c r="FC609" s="3">
        <f t="shared" si="329"/>
        <v>0</v>
      </c>
      <c r="FD609" s="3">
        <f t="shared" si="329"/>
        <v>0</v>
      </c>
      <c r="FE609" s="3">
        <f t="shared" si="329"/>
        <v>0</v>
      </c>
      <c r="FF609" s="3">
        <f t="shared" si="329"/>
        <v>0</v>
      </c>
      <c r="FG609" s="3">
        <f t="shared" si="329"/>
        <v>0</v>
      </c>
      <c r="FH609" s="3">
        <f t="shared" si="329"/>
        <v>0</v>
      </c>
      <c r="FI609" s="3">
        <f t="shared" si="329"/>
        <v>0</v>
      </c>
      <c r="FJ609" s="3">
        <f t="shared" si="329"/>
        <v>0</v>
      </c>
      <c r="FK609" s="3">
        <f t="shared" si="329"/>
        <v>0</v>
      </c>
      <c r="FL609" s="3">
        <f t="shared" si="329"/>
        <v>0</v>
      </c>
      <c r="FM609" s="3">
        <f t="shared" si="329"/>
        <v>0</v>
      </c>
      <c r="FN609" s="3">
        <f t="shared" si="329"/>
        <v>0</v>
      </c>
      <c r="FO609" s="3">
        <f t="shared" si="329"/>
        <v>0</v>
      </c>
      <c r="FP609" s="3">
        <f t="shared" si="329"/>
        <v>0</v>
      </c>
      <c r="FQ609" s="3">
        <f t="shared" si="329"/>
        <v>0</v>
      </c>
      <c r="FR609" s="3">
        <f t="shared" si="329"/>
        <v>0</v>
      </c>
      <c r="FS609" s="3">
        <f t="shared" ref="FS609:GX609" si="330">FS619</f>
        <v>0</v>
      </c>
      <c r="FT609" s="3">
        <f t="shared" si="330"/>
        <v>0</v>
      </c>
      <c r="FU609" s="3">
        <f t="shared" si="330"/>
        <v>0</v>
      </c>
      <c r="FV609" s="3">
        <f t="shared" si="330"/>
        <v>0</v>
      </c>
      <c r="FW609" s="3">
        <f t="shared" si="330"/>
        <v>0</v>
      </c>
      <c r="FX609" s="3">
        <f t="shared" si="330"/>
        <v>0</v>
      </c>
      <c r="FY609" s="3">
        <f t="shared" si="330"/>
        <v>0</v>
      </c>
      <c r="FZ609" s="3">
        <f t="shared" si="330"/>
        <v>0</v>
      </c>
      <c r="GA609" s="3">
        <f t="shared" si="330"/>
        <v>0</v>
      </c>
      <c r="GB609" s="3">
        <f t="shared" si="330"/>
        <v>0</v>
      </c>
      <c r="GC609" s="3">
        <f t="shared" si="330"/>
        <v>0</v>
      </c>
      <c r="GD609" s="3">
        <f t="shared" si="330"/>
        <v>0</v>
      </c>
      <c r="GE609" s="3">
        <f t="shared" si="330"/>
        <v>0</v>
      </c>
      <c r="GF609" s="3">
        <f t="shared" si="330"/>
        <v>0</v>
      </c>
      <c r="GG609" s="3">
        <f t="shared" si="330"/>
        <v>0</v>
      </c>
      <c r="GH609" s="3">
        <f t="shared" si="330"/>
        <v>0</v>
      </c>
      <c r="GI609" s="3">
        <f t="shared" si="330"/>
        <v>0</v>
      </c>
      <c r="GJ609" s="3">
        <f t="shared" si="330"/>
        <v>0</v>
      </c>
      <c r="GK609" s="3">
        <f t="shared" si="330"/>
        <v>0</v>
      </c>
      <c r="GL609" s="3">
        <f t="shared" si="330"/>
        <v>0</v>
      </c>
      <c r="GM609" s="3">
        <f t="shared" si="330"/>
        <v>0</v>
      </c>
      <c r="GN609" s="3">
        <f t="shared" si="330"/>
        <v>0</v>
      </c>
      <c r="GO609" s="3">
        <f t="shared" si="330"/>
        <v>0</v>
      </c>
      <c r="GP609" s="3">
        <f t="shared" si="330"/>
        <v>0</v>
      </c>
      <c r="GQ609" s="3">
        <f t="shared" si="330"/>
        <v>0</v>
      </c>
      <c r="GR609" s="3">
        <f t="shared" si="330"/>
        <v>0</v>
      </c>
      <c r="GS609" s="3">
        <f t="shared" si="330"/>
        <v>0</v>
      </c>
      <c r="GT609" s="3">
        <f t="shared" si="330"/>
        <v>0</v>
      </c>
      <c r="GU609" s="3">
        <f t="shared" si="330"/>
        <v>0</v>
      </c>
      <c r="GV609" s="3">
        <f t="shared" si="330"/>
        <v>0</v>
      </c>
      <c r="GW609" s="3">
        <f t="shared" si="330"/>
        <v>0</v>
      </c>
      <c r="GX609" s="3">
        <f t="shared" si="330"/>
        <v>0</v>
      </c>
    </row>
    <row r="611" spans="1:245" x14ac:dyDescent="0.2">
      <c r="A611">
        <v>17</v>
      </c>
      <c r="B611">
        <v>1</v>
      </c>
      <c r="D611">
        <f>ROW(EtalonRes!A218)</f>
        <v>218</v>
      </c>
      <c r="E611" t="s">
        <v>303</v>
      </c>
      <c r="F611" t="s">
        <v>304</v>
      </c>
      <c r="G611" t="s">
        <v>305</v>
      </c>
      <c r="H611" t="s">
        <v>121</v>
      </c>
      <c r="I611">
        <f>ROUND((17)/100,9)</f>
        <v>0.17</v>
      </c>
      <c r="J611">
        <v>0</v>
      </c>
      <c r="K611">
        <f>ROUND((17)/100,9)</f>
        <v>0.17</v>
      </c>
      <c r="O611">
        <f t="shared" ref="O611:O617" si="331">ROUND(CP611,2)</f>
        <v>2804.96</v>
      </c>
      <c r="P611">
        <f t="shared" ref="P611:P617" si="332">ROUND(CQ611*I611,2)</f>
        <v>0.64</v>
      </c>
      <c r="Q611">
        <f t="shared" ref="Q611:Q617" si="333">ROUND(CR611*I611,2)</f>
        <v>620.23</v>
      </c>
      <c r="R611">
        <f t="shared" ref="R611:R617" si="334">ROUND(CS611*I611,2)</f>
        <v>393.27</v>
      </c>
      <c r="S611">
        <f t="shared" ref="S611:S617" si="335">ROUND(CT611*I611,2)</f>
        <v>2184.09</v>
      </c>
      <c r="T611">
        <f t="shared" ref="T611:T617" si="336">ROUND(CU611*I611,2)</f>
        <v>0</v>
      </c>
      <c r="U611">
        <f t="shared" ref="U611:U617" si="337">CV611*I611</f>
        <v>4.08</v>
      </c>
      <c r="V611">
        <f t="shared" ref="V611:V617" si="338">CW611*I611</f>
        <v>0</v>
      </c>
      <c r="W611">
        <f t="shared" ref="W611:W617" si="339">ROUND(CX611*I611,2)</f>
        <v>0</v>
      </c>
      <c r="X611">
        <f t="shared" ref="X611:Y617" si="340">ROUND(CY611,2)</f>
        <v>1528.86</v>
      </c>
      <c r="Y611">
        <f t="shared" si="340"/>
        <v>218.41</v>
      </c>
      <c r="AA611">
        <v>1473080740</v>
      </c>
      <c r="AB611">
        <f t="shared" ref="AB611:AB617" si="341">ROUND((AC611+AD611+AF611),6)</f>
        <v>16499.759999999998</v>
      </c>
      <c r="AC611">
        <f>ROUND(((ES611*4)),6)</f>
        <v>3.76</v>
      </c>
      <c r="AD611">
        <f>ROUND(((((ET611*4))-((EU611*4)))+AE611),6)</f>
        <v>3648.44</v>
      </c>
      <c r="AE611">
        <f>ROUND(((EU611*4)),6)</f>
        <v>2313.36</v>
      </c>
      <c r="AF611">
        <f>ROUND(((EV611*4)),6)</f>
        <v>12847.56</v>
      </c>
      <c r="AG611">
        <f t="shared" ref="AG611:AG617" si="342">ROUND((AP611),6)</f>
        <v>0</v>
      </c>
      <c r="AH611">
        <f>((EW611*4))</f>
        <v>24</v>
      </c>
      <c r="AI611">
        <f>((EX611*4))</f>
        <v>0</v>
      </c>
      <c r="AJ611">
        <f t="shared" ref="AJ611:AJ617" si="343">(AS611)</f>
        <v>0</v>
      </c>
      <c r="AK611">
        <v>4124.9399999999996</v>
      </c>
      <c r="AL611">
        <v>0.94</v>
      </c>
      <c r="AM611">
        <v>912.11</v>
      </c>
      <c r="AN611">
        <v>578.34</v>
      </c>
      <c r="AO611">
        <v>3211.89</v>
      </c>
      <c r="AP611">
        <v>0</v>
      </c>
      <c r="AQ611">
        <v>6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306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ref="CP611:CP617" si="344">(P611+Q611+S611)</f>
        <v>2804.96</v>
      </c>
      <c r="CQ611">
        <f t="shared" ref="CQ611:CQ617" si="345">(AC611*BC611*AW611)</f>
        <v>3.76</v>
      </c>
      <c r="CR611">
        <f>(((((ET611*4))*BB611-((EU611*4))*BS611)+AE611*BS611)*AV611)</f>
        <v>3648.44</v>
      </c>
      <c r="CS611">
        <f t="shared" ref="CS611:CS617" si="346">(AE611*BS611*AV611)</f>
        <v>2313.36</v>
      </c>
      <c r="CT611">
        <f t="shared" ref="CT611:CT617" si="347">(AF611*BA611*AV611)</f>
        <v>12847.56</v>
      </c>
      <c r="CU611">
        <f t="shared" ref="CU611:CU617" si="348">AG611</f>
        <v>0</v>
      </c>
      <c r="CV611">
        <f t="shared" ref="CV611:CV617" si="349">(AH611*AV611)</f>
        <v>24</v>
      </c>
      <c r="CW611">
        <f t="shared" ref="CW611:CX617" si="350">AI611</f>
        <v>0</v>
      </c>
      <c r="CX611">
        <f t="shared" si="350"/>
        <v>0</v>
      </c>
      <c r="CY611">
        <f t="shared" ref="CY611:CY617" si="351">((S611*BZ611)/100)</f>
        <v>1528.8630000000003</v>
      </c>
      <c r="CZ611">
        <f t="shared" ref="CZ611:CZ617" si="352">((S611*CA611)/100)</f>
        <v>218.40900000000002</v>
      </c>
      <c r="DC611" t="s">
        <v>3</v>
      </c>
      <c r="DD611" t="s">
        <v>104</v>
      </c>
      <c r="DE611" t="s">
        <v>104</v>
      </c>
      <c r="DF611" t="s">
        <v>104</v>
      </c>
      <c r="DG611" t="s">
        <v>104</v>
      </c>
      <c r="DH611" t="s">
        <v>3</v>
      </c>
      <c r="DI611" t="s">
        <v>104</v>
      </c>
      <c r="DJ611" t="s">
        <v>104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16987630</v>
      </c>
      <c r="DV611" t="s">
        <v>121</v>
      </c>
      <c r="DW611" t="s">
        <v>121</v>
      </c>
      <c r="DX611">
        <v>100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21</v>
      </c>
      <c r="EH611">
        <v>0</v>
      </c>
      <c r="EI611" t="s">
        <v>3</v>
      </c>
      <c r="EJ611">
        <v>4</v>
      </c>
      <c r="EK611">
        <v>0</v>
      </c>
      <c r="EL611" t="s">
        <v>22</v>
      </c>
      <c r="EM611" t="s">
        <v>23</v>
      </c>
      <c r="EO611" t="s">
        <v>3</v>
      </c>
      <c r="EQ611">
        <v>0</v>
      </c>
      <c r="ER611">
        <v>4124.9399999999996</v>
      </c>
      <c r="ES611">
        <v>0.94</v>
      </c>
      <c r="ET611">
        <v>912.11</v>
      </c>
      <c r="EU611">
        <v>578.34</v>
      </c>
      <c r="EV611">
        <v>3211.89</v>
      </c>
      <c r="EW611">
        <v>6</v>
      </c>
      <c r="EX611">
        <v>0</v>
      </c>
      <c r="EY611">
        <v>0</v>
      </c>
      <c r="FQ611">
        <v>0</v>
      </c>
      <c r="FR611">
        <f t="shared" ref="FR611:FR617" si="353">ROUND(IF(BI611=3,GM611,0),2)</f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1659747637</v>
      </c>
      <c r="GG611">
        <v>2</v>
      </c>
      <c r="GH611">
        <v>1</v>
      </c>
      <c r="GI611">
        <v>-2</v>
      </c>
      <c r="GJ611">
        <v>0</v>
      </c>
      <c r="GK611">
        <f>ROUND(R611*(R12)/100,2)</f>
        <v>424.73</v>
      </c>
      <c r="GL611">
        <f t="shared" ref="GL611:GL617" si="354">ROUND(IF(AND(BH611=3,BI611=3,FS611&lt;&gt;0),P611,0),2)</f>
        <v>0</v>
      </c>
      <c r="GM611">
        <f t="shared" ref="GM611:GM617" si="355">ROUND(O611+X611+Y611+GK611,2)+GX611</f>
        <v>4976.96</v>
      </c>
      <c r="GN611">
        <f t="shared" ref="GN611:GN617" si="356">IF(OR(BI611=0,BI611=1),GM611-GX611,0)</f>
        <v>0</v>
      </c>
      <c r="GO611">
        <f t="shared" ref="GO611:GO617" si="357">IF(BI611=2,GM611-GX611,0)</f>
        <v>0</v>
      </c>
      <c r="GP611">
        <f t="shared" ref="GP611:GP617" si="358">IF(BI611=4,GM611-GX611,0)</f>
        <v>4976.96</v>
      </c>
      <c r="GR611">
        <v>0</v>
      </c>
      <c r="GS611">
        <v>3</v>
      </c>
      <c r="GT611">
        <v>0</v>
      </c>
      <c r="GU611" t="s">
        <v>3</v>
      </c>
      <c r="GV611">
        <f t="shared" ref="GV611:GV617" si="359">ROUND((GT611),6)</f>
        <v>0</v>
      </c>
      <c r="GW611">
        <v>1</v>
      </c>
      <c r="GX611">
        <f t="shared" ref="GX611:GX617" si="360">ROUND(HC611*I611,2)</f>
        <v>0</v>
      </c>
      <c r="HA611">
        <v>0</v>
      </c>
      <c r="HB611">
        <v>0</v>
      </c>
      <c r="HC611">
        <f t="shared" ref="HC611:HC617" si="361">GV611*GW611</f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ROW(EtalonRes!A219)</f>
        <v>219</v>
      </c>
      <c r="E612" t="s">
        <v>3</v>
      </c>
      <c r="F612" t="s">
        <v>307</v>
      </c>
      <c r="G612" t="s">
        <v>308</v>
      </c>
      <c r="H612" t="s">
        <v>121</v>
      </c>
      <c r="I612">
        <f>ROUND((30+1)/100,9)</f>
        <v>0.31</v>
      </c>
      <c r="J612">
        <v>0</v>
      </c>
      <c r="K612">
        <f>ROUND((30+1)/100,9)</f>
        <v>0.31</v>
      </c>
      <c r="O612">
        <f t="shared" si="331"/>
        <v>75.42</v>
      </c>
      <c r="P612">
        <f t="shared" si="332"/>
        <v>0</v>
      </c>
      <c r="Q612">
        <f t="shared" si="333"/>
        <v>0</v>
      </c>
      <c r="R612">
        <f t="shared" si="334"/>
        <v>0</v>
      </c>
      <c r="S612">
        <f t="shared" si="335"/>
        <v>75.42</v>
      </c>
      <c r="T612">
        <f t="shared" si="336"/>
        <v>0</v>
      </c>
      <c r="U612">
        <f t="shared" si="337"/>
        <v>0.14879999999999999</v>
      </c>
      <c r="V612">
        <f t="shared" si="338"/>
        <v>0</v>
      </c>
      <c r="W612">
        <f t="shared" si="339"/>
        <v>0</v>
      </c>
      <c r="X612">
        <f t="shared" si="340"/>
        <v>52.79</v>
      </c>
      <c r="Y612">
        <f t="shared" si="340"/>
        <v>7.54</v>
      </c>
      <c r="AA612">
        <v>-1</v>
      </c>
      <c r="AB612">
        <f t="shared" si="341"/>
        <v>243.28</v>
      </c>
      <c r="AC612">
        <f>ROUND(((ES612*2)),6)</f>
        <v>0</v>
      </c>
      <c r="AD612">
        <f>ROUND(((((ET612*2))-((EU612*2)))+AE612),6)</f>
        <v>0</v>
      </c>
      <c r="AE612">
        <f>ROUND(((EU612*2)),6)</f>
        <v>0</v>
      </c>
      <c r="AF612">
        <f>ROUND(((EV612*2)),6)</f>
        <v>243.28</v>
      </c>
      <c r="AG612">
        <f t="shared" si="342"/>
        <v>0</v>
      </c>
      <c r="AH612">
        <f>((EW612*2))</f>
        <v>0.48</v>
      </c>
      <c r="AI612">
        <f>((EX612*2))</f>
        <v>0</v>
      </c>
      <c r="AJ612">
        <f t="shared" si="343"/>
        <v>0</v>
      </c>
      <c r="AK612">
        <v>121.64</v>
      </c>
      <c r="AL612">
        <v>0</v>
      </c>
      <c r="AM612">
        <v>0</v>
      </c>
      <c r="AN612">
        <v>0</v>
      </c>
      <c r="AO612">
        <v>121.64</v>
      </c>
      <c r="AP612">
        <v>0</v>
      </c>
      <c r="AQ612">
        <v>0.24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309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344"/>
        <v>75.42</v>
      </c>
      <c r="CQ612">
        <f t="shared" si="345"/>
        <v>0</v>
      </c>
      <c r="CR612">
        <f>(((((ET612*2))*BB612-((EU612*2))*BS612)+AE612*BS612)*AV612)</f>
        <v>0</v>
      </c>
      <c r="CS612">
        <f t="shared" si="346"/>
        <v>0</v>
      </c>
      <c r="CT612">
        <f t="shared" si="347"/>
        <v>243.28</v>
      </c>
      <c r="CU612">
        <f t="shared" si="348"/>
        <v>0</v>
      </c>
      <c r="CV612">
        <f t="shared" si="349"/>
        <v>0.48</v>
      </c>
      <c r="CW612">
        <f t="shared" si="350"/>
        <v>0</v>
      </c>
      <c r="CX612">
        <f t="shared" si="350"/>
        <v>0</v>
      </c>
      <c r="CY612">
        <f t="shared" si="351"/>
        <v>52.794000000000004</v>
      </c>
      <c r="CZ612">
        <f t="shared" si="352"/>
        <v>7.5420000000000007</v>
      </c>
      <c r="DC612" t="s">
        <v>3</v>
      </c>
      <c r="DD612" t="s">
        <v>181</v>
      </c>
      <c r="DE612" t="s">
        <v>181</v>
      </c>
      <c r="DF612" t="s">
        <v>181</v>
      </c>
      <c r="DG612" t="s">
        <v>181</v>
      </c>
      <c r="DH612" t="s">
        <v>3</v>
      </c>
      <c r="DI612" t="s">
        <v>181</v>
      </c>
      <c r="DJ612" t="s">
        <v>181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16987630</v>
      </c>
      <c r="DV612" t="s">
        <v>121</v>
      </c>
      <c r="DW612" t="s">
        <v>121</v>
      </c>
      <c r="DX612">
        <v>100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21</v>
      </c>
      <c r="EH612">
        <v>0</v>
      </c>
      <c r="EI612" t="s">
        <v>3</v>
      </c>
      <c r="EJ612">
        <v>4</v>
      </c>
      <c r="EK612">
        <v>0</v>
      </c>
      <c r="EL612" t="s">
        <v>22</v>
      </c>
      <c r="EM612" t="s">
        <v>23</v>
      </c>
      <c r="EO612" t="s">
        <v>3</v>
      </c>
      <c r="EQ612">
        <v>1024</v>
      </c>
      <c r="ER612">
        <v>121.64</v>
      </c>
      <c r="ES612">
        <v>0</v>
      </c>
      <c r="ET612">
        <v>0</v>
      </c>
      <c r="EU612">
        <v>0</v>
      </c>
      <c r="EV612">
        <v>121.64</v>
      </c>
      <c r="EW612">
        <v>0.24</v>
      </c>
      <c r="EX612">
        <v>0</v>
      </c>
      <c r="EY612">
        <v>0</v>
      </c>
      <c r="FQ612">
        <v>0</v>
      </c>
      <c r="FR612">
        <f t="shared" si="353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1019270866</v>
      </c>
      <c r="GG612">
        <v>2</v>
      </c>
      <c r="GH612">
        <v>1</v>
      </c>
      <c r="GI612">
        <v>-2</v>
      </c>
      <c r="GJ612">
        <v>0</v>
      </c>
      <c r="GK612">
        <f>ROUND(R612*(R12)/100,2)</f>
        <v>0</v>
      </c>
      <c r="GL612">
        <f t="shared" si="354"/>
        <v>0</v>
      </c>
      <c r="GM612">
        <f t="shared" si="355"/>
        <v>135.75</v>
      </c>
      <c r="GN612">
        <f t="shared" si="356"/>
        <v>0</v>
      </c>
      <c r="GO612">
        <f t="shared" si="357"/>
        <v>0</v>
      </c>
      <c r="GP612">
        <f t="shared" si="358"/>
        <v>135.75</v>
      </c>
      <c r="GR612">
        <v>0</v>
      </c>
      <c r="GS612">
        <v>3</v>
      </c>
      <c r="GT612">
        <v>0</v>
      </c>
      <c r="GU612" t="s">
        <v>3</v>
      </c>
      <c r="GV612">
        <f t="shared" si="359"/>
        <v>0</v>
      </c>
      <c r="GW612">
        <v>1</v>
      </c>
      <c r="GX612">
        <f t="shared" si="360"/>
        <v>0</v>
      </c>
      <c r="HA612">
        <v>0</v>
      </c>
      <c r="HB612">
        <v>0</v>
      </c>
      <c r="HC612">
        <f t="shared" si="361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D613">
        <f>ROW(EtalonRes!A221)</f>
        <v>221</v>
      </c>
      <c r="E613" t="s">
        <v>3</v>
      </c>
      <c r="F613" t="s">
        <v>310</v>
      </c>
      <c r="G613" t="s">
        <v>311</v>
      </c>
      <c r="H613" t="s">
        <v>32</v>
      </c>
      <c r="I613">
        <f>ROUND((30+1)/10,9)</f>
        <v>3.1</v>
      </c>
      <c r="J613">
        <v>0</v>
      </c>
      <c r="K613">
        <f>ROUND((30+1)/10,9)</f>
        <v>3.1</v>
      </c>
      <c r="O613">
        <f t="shared" si="331"/>
        <v>785.23</v>
      </c>
      <c r="P613">
        <f t="shared" si="332"/>
        <v>19.53</v>
      </c>
      <c r="Q613">
        <f t="shared" si="333"/>
        <v>0</v>
      </c>
      <c r="R613">
        <f t="shared" si="334"/>
        <v>0</v>
      </c>
      <c r="S613">
        <f t="shared" si="335"/>
        <v>765.7</v>
      </c>
      <c r="T613">
        <f t="shared" si="336"/>
        <v>0</v>
      </c>
      <c r="U613">
        <f t="shared" si="337"/>
        <v>1.2400000000000002</v>
      </c>
      <c r="V613">
        <f t="shared" si="338"/>
        <v>0</v>
      </c>
      <c r="W613">
        <f t="shared" si="339"/>
        <v>0</v>
      </c>
      <c r="X613">
        <f t="shared" si="340"/>
        <v>535.99</v>
      </c>
      <c r="Y613">
        <f t="shared" si="340"/>
        <v>76.569999999999993</v>
      </c>
      <c r="AA613">
        <v>-1</v>
      </c>
      <c r="AB613">
        <f t="shared" si="341"/>
        <v>253.3</v>
      </c>
      <c r="AC613">
        <f>ROUND((ES613),6)</f>
        <v>6.3</v>
      </c>
      <c r="AD613">
        <f>ROUND((((ET613)-(EU613))+AE613),6)</f>
        <v>0</v>
      </c>
      <c r="AE613">
        <f t="shared" ref="AE613:AF617" si="362">ROUND((EU613),6)</f>
        <v>0</v>
      </c>
      <c r="AF613">
        <f t="shared" si="362"/>
        <v>247</v>
      </c>
      <c r="AG613">
        <f t="shared" si="342"/>
        <v>0</v>
      </c>
      <c r="AH613">
        <f t="shared" ref="AH613:AI617" si="363">(EW613)</f>
        <v>0.4</v>
      </c>
      <c r="AI613">
        <f t="shared" si="363"/>
        <v>0</v>
      </c>
      <c r="AJ613">
        <f t="shared" si="343"/>
        <v>0</v>
      </c>
      <c r="AK613">
        <v>253.3</v>
      </c>
      <c r="AL613">
        <v>6.3</v>
      </c>
      <c r="AM613">
        <v>0</v>
      </c>
      <c r="AN613">
        <v>0</v>
      </c>
      <c r="AO613">
        <v>247</v>
      </c>
      <c r="AP613">
        <v>0</v>
      </c>
      <c r="AQ613">
        <v>0.4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312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344"/>
        <v>785.23</v>
      </c>
      <c r="CQ613">
        <f t="shared" si="345"/>
        <v>6.3</v>
      </c>
      <c r="CR613">
        <f>((((ET613)*BB613-(EU613)*BS613)+AE613*BS613)*AV613)</f>
        <v>0</v>
      </c>
      <c r="CS613">
        <f t="shared" si="346"/>
        <v>0</v>
      </c>
      <c r="CT613">
        <f t="shared" si="347"/>
        <v>247</v>
      </c>
      <c r="CU613">
        <f t="shared" si="348"/>
        <v>0</v>
      </c>
      <c r="CV613">
        <f t="shared" si="349"/>
        <v>0.4</v>
      </c>
      <c r="CW613">
        <f t="shared" si="350"/>
        <v>0</v>
      </c>
      <c r="CX613">
        <f t="shared" si="350"/>
        <v>0</v>
      </c>
      <c r="CY613">
        <f t="shared" si="351"/>
        <v>535.99</v>
      </c>
      <c r="CZ613">
        <f t="shared" si="352"/>
        <v>76.569999999999993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16987630</v>
      </c>
      <c r="DV613" t="s">
        <v>32</v>
      </c>
      <c r="DW613" t="s">
        <v>32</v>
      </c>
      <c r="DX613">
        <v>10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21</v>
      </c>
      <c r="EH613">
        <v>0</v>
      </c>
      <c r="EI613" t="s">
        <v>3</v>
      </c>
      <c r="EJ613">
        <v>4</v>
      </c>
      <c r="EK613">
        <v>0</v>
      </c>
      <c r="EL613" t="s">
        <v>22</v>
      </c>
      <c r="EM613" t="s">
        <v>23</v>
      </c>
      <c r="EO613" t="s">
        <v>3</v>
      </c>
      <c r="EQ613">
        <v>1024</v>
      </c>
      <c r="ER613">
        <v>253.3</v>
      </c>
      <c r="ES613">
        <v>6.3</v>
      </c>
      <c r="ET613">
        <v>0</v>
      </c>
      <c r="EU613">
        <v>0</v>
      </c>
      <c r="EV613">
        <v>247</v>
      </c>
      <c r="EW613">
        <v>0.4</v>
      </c>
      <c r="EX613">
        <v>0</v>
      </c>
      <c r="EY613">
        <v>0</v>
      </c>
      <c r="FQ613">
        <v>0</v>
      </c>
      <c r="FR613">
        <f t="shared" si="353"/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526043079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</v>
      </c>
      <c r="GL613">
        <f t="shared" si="354"/>
        <v>0</v>
      </c>
      <c r="GM613">
        <f t="shared" si="355"/>
        <v>1397.79</v>
      </c>
      <c r="GN613">
        <f t="shared" si="356"/>
        <v>0</v>
      </c>
      <c r="GO613">
        <f t="shared" si="357"/>
        <v>0</v>
      </c>
      <c r="GP613">
        <f t="shared" si="358"/>
        <v>1397.79</v>
      </c>
      <c r="GR613">
        <v>0</v>
      </c>
      <c r="GS613">
        <v>3</v>
      </c>
      <c r="GT613">
        <v>0</v>
      </c>
      <c r="GU613" t="s">
        <v>3</v>
      </c>
      <c r="GV613">
        <f t="shared" si="359"/>
        <v>0</v>
      </c>
      <c r="GW613">
        <v>1</v>
      </c>
      <c r="GX613">
        <f t="shared" si="360"/>
        <v>0</v>
      </c>
      <c r="HA613">
        <v>0</v>
      </c>
      <c r="HB613">
        <v>0</v>
      </c>
      <c r="HC613">
        <f t="shared" si="361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D614">
        <f>ROW(EtalonRes!A223)</f>
        <v>223</v>
      </c>
      <c r="E614" t="s">
        <v>313</v>
      </c>
      <c r="F614" t="s">
        <v>314</v>
      </c>
      <c r="G614" t="s">
        <v>315</v>
      </c>
      <c r="H614" t="s">
        <v>32</v>
      </c>
      <c r="I614">
        <f>ROUND((30+1)/10,9)</f>
        <v>3.1</v>
      </c>
      <c r="J614">
        <v>0</v>
      </c>
      <c r="K614">
        <f>ROUND((30+1)/10,9)</f>
        <v>3.1</v>
      </c>
      <c r="O614">
        <f t="shared" si="331"/>
        <v>364.1</v>
      </c>
      <c r="P614">
        <f t="shared" si="332"/>
        <v>19.53</v>
      </c>
      <c r="Q614">
        <f t="shared" si="333"/>
        <v>0</v>
      </c>
      <c r="R614">
        <f t="shared" si="334"/>
        <v>0</v>
      </c>
      <c r="S614">
        <f t="shared" si="335"/>
        <v>344.57</v>
      </c>
      <c r="T614">
        <f t="shared" si="336"/>
        <v>0</v>
      </c>
      <c r="U614">
        <f t="shared" si="337"/>
        <v>0.55799999999999994</v>
      </c>
      <c r="V614">
        <f t="shared" si="338"/>
        <v>0</v>
      </c>
      <c r="W614">
        <f t="shared" si="339"/>
        <v>0</v>
      </c>
      <c r="X614">
        <f t="shared" si="340"/>
        <v>241.2</v>
      </c>
      <c r="Y614">
        <f t="shared" si="340"/>
        <v>34.46</v>
      </c>
      <c r="AA614">
        <v>1473080740</v>
      </c>
      <c r="AB614">
        <f t="shared" si="341"/>
        <v>117.45</v>
      </c>
      <c r="AC614">
        <f>ROUND((ES614),6)</f>
        <v>6.3</v>
      </c>
      <c r="AD614">
        <f>ROUND((((ET614)-(EU614))+AE614),6)</f>
        <v>0</v>
      </c>
      <c r="AE614">
        <f t="shared" si="362"/>
        <v>0</v>
      </c>
      <c r="AF614">
        <f t="shared" si="362"/>
        <v>111.15</v>
      </c>
      <c r="AG614">
        <f t="shared" si="342"/>
        <v>0</v>
      </c>
      <c r="AH614">
        <f t="shared" si="363"/>
        <v>0.18</v>
      </c>
      <c r="AI614">
        <f t="shared" si="363"/>
        <v>0</v>
      </c>
      <c r="AJ614">
        <f t="shared" si="343"/>
        <v>0</v>
      </c>
      <c r="AK614">
        <v>117.45</v>
      </c>
      <c r="AL614">
        <v>6.3</v>
      </c>
      <c r="AM614">
        <v>0</v>
      </c>
      <c r="AN614">
        <v>0</v>
      </c>
      <c r="AO614">
        <v>111.15</v>
      </c>
      <c r="AP614">
        <v>0</v>
      </c>
      <c r="AQ614">
        <v>0.18</v>
      </c>
      <c r="AR614">
        <v>0</v>
      </c>
      <c r="AS614">
        <v>0</v>
      </c>
      <c r="AT614">
        <v>70</v>
      </c>
      <c r="AU614">
        <v>10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316</v>
      </c>
      <c r="BM614">
        <v>0</v>
      </c>
      <c r="BN614">
        <v>0</v>
      </c>
      <c r="BO614" t="s">
        <v>3</v>
      </c>
      <c r="BP614">
        <v>0</v>
      </c>
      <c r="BQ614">
        <v>1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10</v>
      </c>
      <c r="CB614" t="s">
        <v>3</v>
      </c>
      <c r="CE614">
        <v>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344"/>
        <v>364.1</v>
      </c>
      <c r="CQ614">
        <f t="shared" si="345"/>
        <v>6.3</v>
      </c>
      <c r="CR614">
        <f>((((ET614)*BB614-(EU614)*BS614)+AE614*BS614)*AV614)</f>
        <v>0</v>
      </c>
      <c r="CS614">
        <f t="shared" si="346"/>
        <v>0</v>
      </c>
      <c r="CT614">
        <f t="shared" si="347"/>
        <v>111.15</v>
      </c>
      <c r="CU614">
        <f t="shared" si="348"/>
        <v>0</v>
      </c>
      <c r="CV614">
        <f t="shared" si="349"/>
        <v>0.18</v>
      </c>
      <c r="CW614">
        <f t="shared" si="350"/>
        <v>0</v>
      </c>
      <c r="CX614">
        <f t="shared" si="350"/>
        <v>0</v>
      </c>
      <c r="CY614">
        <f t="shared" si="351"/>
        <v>241.19899999999998</v>
      </c>
      <c r="CZ614">
        <f t="shared" si="352"/>
        <v>34.457000000000001</v>
      </c>
      <c r="DC614" t="s">
        <v>3</v>
      </c>
      <c r="DD614" t="s">
        <v>3</v>
      </c>
      <c r="DE614" t="s">
        <v>3</v>
      </c>
      <c r="DF614" t="s">
        <v>3</v>
      </c>
      <c r="DG614" t="s">
        <v>3</v>
      </c>
      <c r="DH614" t="s">
        <v>3</v>
      </c>
      <c r="DI614" t="s">
        <v>3</v>
      </c>
      <c r="DJ614" t="s">
        <v>3</v>
      </c>
      <c r="DK614" t="s">
        <v>3</v>
      </c>
      <c r="DL614" t="s">
        <v>3</v>
      </c>
      <c r="DM614" t="s">
        <v>3</v>
      </c>
      <c r="DN614">
        <v>0</v>
      </c>
      <c r="DO614">
        <v>0</v>
      </c>
      <c r="DP614">
        <v>1</v>
      </c>
      <c r="DQ614">
        <v>1</v>
      </c>
      <c r="DU614">
        <v>16987630</v>
      </c>
      <c r="DV614" t="s">
        <v>32</v>
      </c>
      <c r="DW614" t="s">
        <v>32</v>
      </c>
      <c r="DX614">
        <v>10</v>
      </c>
      <c r="DZ614" t="s">
        <v>3</v>
      </c>
      <c r="EA614" t="s">
        <v>3</v>
      </c>
      <c r="EB614" t="s">
        <v>3</v>
      </c>
      <c r="EC614" t="s">
        <v>3</v>
      </c>
      <c r="EE614">
        <v>1441815344</v>
      </c>
      <c r="EF614">
        <v>1</v>
      </c>
      <c r="EG614" t="s">
        <v>21</v>
      </c>
      <c r="EH614">
        <v>0</v>
      </c>
      <c r="EI614" t="s">
        <v>3</v>
      </c>
      <c r="EJ614">
        <v>4</v>
      </c>
      <c r="EK614">
        <v>0</v>
      </c>
      <c r="EL614" t="s">
        <v>22</v>
      </c>
      <c r="EM614" t="s">
        <v>23</v>
      </c>
      <c r="EO614" t="s">
        <v>3</v>
      </c>
      <c r="EQ614">
        <v>0</v>
      </c>
      <c r="ER614">
        <v>117.45</v>
      </c>
      <c r="ES614">
        <v>6.3</v>
      </c>
      <c r="ET614">
        <v>0</v>
      </c>
      <c r="EU614">
        <v>0</v>
      </c>
      <c r="EV614">
        <v>111.15</v>
      </c>
      <c r="EW614">
        <v>0.18</v>
      </c>
      <c r="EX614">
        <v>0</v>
      </c>
      <c r="EY614">
        <v>0</v>
      </c>
      <c r="FQ614">
        <v>0</v>
      </c>
      <c r="FR614">
        <f t="shared" si="353"/>
        <v>0</v>
      </c>
      <c r="FS614">
        <v>0</v>
      </c>
      <c r="FX614">
        <v>70</v>
      </c>
      <c r="FY614">
        <v>10</v>
      </c>
      <c r="GA614" t="s">
        <v>3</v>
      </c>
      <c r="GD614">
        <v>0</v>
      </c>
      <c r="GF614">
        <v>1310870617</v>
      </c>
      <c r="GG614">
        <v>2</v>
      </c>
      <c r="GH614">
        <v>1</v>
      </c>
      <c r="GI614">
        <v>-2</v>
      </c>
      <c r="GJ614">
        <v>0</v>
      </c>
      <c r="GK614">
        <f>ROUND(R614*(R12)/100,2)</f>
        <v>0</v>
      </c>
      <c r="GL614">
        <f t="shared" si="354"/>
        <v>0</v>
      </c>
      <c r="GM614">
        <f t="shared" si="355"/>
        <v>639.76</v>
      </c>
      <c r="GN614">
        <f t="shared" si="356"/>
        <v>0</v>
      </c>
      <c r="GO614">
        <f t="shared" si="357"/>
        <v>0</v>
      </c>
      <c r="GP614">
        <f t="shared" si="358"/>
        <v>639.76</v>
      </c>
      <c r="GR614">
        <v>0</v>
      </c>
      <c r="GS614">
        <v>3</v>
      </c>
      <c r="GT614">
        <v>0</v>
      </c>
      <c r="GU614" t="s">
        <v>3</v>
      </c>
      <c r="GV614">
        <f t="shared" si="359"/>
        <v>0</v>
      </c>
      <c r="GW614">
        <v>1</v>
      </c>
      <c r="GX614">
        <f t="shared" si="360"/>
        <v>0</v>
      </c>
      <c r="HA614">
        <v>0</v>
      </c>
      <c r="HB614">
        <v>0</v>
      </c>
      <c r="HC614">
        <f t="shared" si="361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5" spans="1:245" x14ac:dyDescent="0.2">
      <c r="A615">
        <v>17</v>
      </c>
      <c r="B615">
        <v>1</v>
      </c>
      <c r="C615">
        <f>ROW(SmtRes!A134)</f>
        <v>134</v>
      </c>
      <c r="D615">
        <f>ROW(EtalonRes!A227)</f>
        <v>227</v>
      </c>
      <c r="E615" t="s">
        <v>317</v>
      </c>
      <c r="F615" t="s">
        <v>318</v>
      </c>
      <c r="G615" t="s">
        <v>319</v>
      </c>
      <c r="H615" t="s">
        <v>18</v>
      </c>
      <c r="I615">
        <v>1</v>
      </c>
      <c r="J615">
        <v>0</v>
      </c>
      <c r="K615">
        <v>1</v>
      </c>
      <c r="O615">
        <f t="shared" si="331"/>
        <v>598.80999999999995</v>
      </c>
      <c r="P615">
        <f t="shared" si="332"/>
        <v>6.02</v>
      </c>
      <c r="Q615">
        <f t="shared" si="333"/>
        <v>0</v>
      </c>
      <c r="R615">
        <f t="shared" si="334"/>
        <v>0</v>
      </c>
      <c r="S615">
        <f t="shared" si="335"/>
        <v>592.79</v>
      </c>
      <c r="T615">
        <f t="shared" si="336"/>
        <v>0</v>
      </c>
      <c r="U615">
        <f t="shared" si="337"/>
        <v>0.96</v>
      </c>
      <c r="V615">
        <f t="shared" si="338"/>
        <v>0</v>
      </c>
      <c r="W615">
        <f t="shared" si="339"/>
        <v>0</v>
      </c>
      <c r="X615">
        <f t="shared" si="340"/>
        <v>414.95</v>
      </c>
      <c r="Y615">
        <f t="shared" si="340"/>
        <v>59.28</v>
      </c>
      <c r="AA615">
        <v>1473080740</v>
      </c>
      <c r="AB615">
        <f t="shared" si="341"/>
        <v>598.80999999999995</v>
      </c>
      <c r="AC615">
        <f>ROUND((ES615),6)</f>
        <v>6.02</v>
      </c>
      <c r="AD615">
        <f>ROUND((((ET615)-(EU615))+AE615),6)</f>
        <v>0</v>
      </c>
      <c r="AE615">
        <f t="shared" si="362"/>
        <v>0</v>
      </c>
      <c r="AF615">
        <f t="shared" si="362"/>
        <v>592.79</v>
      </c>
      <c r="AG615">
        <f t="shared" si="342"/>
        <v>0</v>
      </c>
      <c r="AH615">
        <f t="shared" si="363"/>
        <v>0.96</v>
      </c>
      <c r="AI615">
        <f t="shared" si="363"/>
        <v>0</v>
      </c>
      <c r="AJ615">
        <f t="shared" si="343"/>
        <v>0</v>
      </c>
      <c r="AK615">
        <v>598.80999999999995</v>
      </c>
      <c r="AL615">
        <v>6.02</v>
      </c>
      <c r="AM615">
        <v>0</v>
      </c>
      <c r="AN615">
        <v>0</v>
      </c>
      <c r="AO615">
        <v>592.79</v>
      </c>
      <c r="AP615">
        <v>0</v>
      </c>
      <c r="AQ615">
        <v>0.96</v>
      </c>
      <c r="AR615">
        <v>0</v>
      </c>
      <c r="AS615">
        <v>0</v>
      </c>
      <c r="AT615">
        <v>70</v>
      </c>
      <c r="AU615">
        <v>10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320</v>
      </c>
      <c r="BM615">
        <v>0</v>
      </c>
      <c r="BN615">
        <v>0</v>
      </c>
      <c r="BO615" t="s">
        <v>3</v>
      </c>
      <c r="BP615">
        <v>0</v>
      </c>
      <c r="BQ615">
        <v>1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10</v>
      </c>
      <c r="CB615" t="s">
        <v>3</v>
      </c>
      <c r="CE615">
        <v>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si="344"/>
        <v>598.80999999999995</v>
      </c>
      <c r="CQ615">
        <f t="shared" si="345"/>
        <v>6.02</v>
      </c>
      <c r="CR615">
        <f>((((ET615)*BB615-(EU615)*BS615)+AE615*BS615)*AV615)</f>
        <v>0</v>
      </c>
      <c r="CS615">
        <f t="shared" si="346"/>
        <v>0</v>
      </c>
      <c r="CT615">
        <f t="shared" si="347"/>
        <v>592.79</v>
      </c>
      <c r="CU615">
        <f t="shared" si="348"/>
        <v>0</v>
      </c>
      <c r="CV615">
        <f t="shared" si="349"/>
        <v>0.96</v>
      </c>
      <c r="CW615">
        <f t="shared" si="350"/>
        <v>0</v>
      </c>
      <c r="CX615">
        <f t="shared" si="350"/>
        <v>0</v>
      </c>
      <c r="CY615">
        <f t="shared" si="351"/>
        <v>414.95299999999997</v>
      </c>
      <c r="CZ615">
        <f t="shared" si="352"/>
        <v>59.278999999999996</v>
      </c>
      <c r="DC615" t="s">
        <v>3</v>
      </c>
      <c r="DD615" t="s">
        <v>3</v>
      </c>
      <c r="DE615" t="s">
        <v>3</v>
      </c>
      <c r="DF615" t="s">
        <v>3</v>
      </c>
      <c r="DG615" t="s">
        <v>3</v>
      </c>
      <c r="DH615" t="s">
        <v>3</v>
      </c>
      <c r="DI615" t="s">
        <v>3</v>
      </c>
      <c r="DJ615" t="s">
        <v>3</v>
      </c>
      <c r="DK615" t="s">
        <v>3</v>
      </c>
      <c r="DL615" t="s">
        <v>3</v>
      </c>
      <c r="DM615" t="s">
        <v>3</v>
      </c>
      <c r="DN615">
        <v>0</v>
      </c>
      <c r="DO615">
        <v>0</v>
      </c>
      <c r="DP615">
        <v>1</v>
      </c>
      <c r="DQ615">
        <v>1</v>
      </c>
      <c r="DU615">
        <v>16987630</v>
      </c>
      <c r="DV615" t="s">
        <v>18</v>
      </c>
      <c r="DW615" t="s">
        <v>18</v>
      </c>
      <c r="DX615">
        <v>1</v>
      </c>
      <c r="DZ615" t="s">
        <v>3</v>
      </c>
      <c r="EA615" t="s">
        <v>3</v>
      </c>
      <c r="EB615" t="s">
        <v>3</v>
      </c>
      <c r="EC615" t="s">
        <v>3</v>
      </c>
      <c r="EE615">
        <v>1441815344</v>
      </c>
      <c r="EF615">
        <v>1</v>
      </c>
      <c r="EG615" t="s">
        <v>21</v>
      </c>
      <c r="EH615">
        <v>0</v>
      </c>
      <c r="EI615" t="s">
        <v>3</v>
      </c>
      <c r="EJ615">
        <v>4</v>
      </c>
      <c r="EK615">
        <v>0</v>
      </c>
      <c r="EL615" t="s">
        <v>22</v>
      </c>
      <c r="EM615" t="s">
        <v>23</v>
      </c>
      <c r="EO615" t="s">
        <v>3</v>
      </c>
      <c r="EQ615">
        <v>0</v>
      </c>
      <c r="ER615">
        <v>598.80999999999995</v>
      </c>
      <c r="ES615">
        <v>6.02</v>
      </c>
      <c r="ET615">
        <v>0</v>
      </c>
      <c r="EU615">
        <v>0</v>
      </c>
      <c r="EV615">
        <v>592.79</v>
      </c>
      <c r="EW615">
        <v>0.96</v>
      </c>
      <c r="EX615">
        <v>0</v>
      </c>
      <c r="EY615">
        <v>0</v>
      </c>
      <c r="FQ615">
        <v>0</v>
      </c>
      <c r="FR615">
        <f t="shared" si="353"/>
        <v>0</v>
      </c>
      <c r="FS615">
        <v>0</v>
      </c>
      <c r="FX615">
        <v>70</v>
      </c>
      <c r="FY615">
        <v>10</v>
      </c>
      <c r="GA615" t="s">
        <v>3</v>
      </c>
      <c r="GD615">
        <v>0</v>
      </c>
      <c r="GF615">
        <v>763325158</v>
      </c>
      <c r="GG615">
        <v>2</v>
      </c>
      <c r="GH615">
        <v>1</v>
      </c>
      <c r="GI615">
        <v>-2</v>
      </c>
      <c r="GJ615">
        <v>0</v>
      </c>
      <c r="GK615">
        <f>ROUND(R615*(R12)/100,2)</f>
        <v>0</v>
      </c>
      <c r="GL615">
        <f t="shared" si="354"/>
        <v>0</v>
      </c>
      <c r="GM615">
        <f t="shared" si="355"/>
        <v>1073.04</v>
      </c>
      <c r="GN615">
        <f t="shared" si="356"/>
        <v>0</v>
      </c>
      <c r="GO615">
        <f t="shared" si="357"/>
        <v>0</v>
      </c>
      <c r="GP615">
        <f t="shared" si="358"/>
        <v>1073.04</v>
      </c>
      <c r="GR615">
        <v>0</v>
      </c>
      <c r="GS615">
        <v>3</v>
      </c>
      <c r="GT615">
        <v>0</v>
      </c>
      <c r="GU615" t="s">
        <v>3</v>
      </c>
      <c r="GV615">
        <f t="shared" si="359"/>
        <v>0</v>
      </c>
      <c r="GW615">
        <v>1</v>
      </c>
      <c r="GX615">
        <f t="shared" si="360"/>
        <v>0</v>
      </c>
      <c r="HA615">
        <v>0</v>
      </c>
      <c r="HB615">
        <v>0</v>
      </c>
      <c r="HC615">
        <f t="shared" si="361"/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6" spans="1:245" x14ac:dyDescent="0.2">
      <c r="A616">
        <v>17</v>
      </c>
      <c r="B616">
        <v>1</v>
      </c>
      <c r="C616">
        <f>ROW(SmtRes!A138)</f>
        <v>138</v>
      </c>
      <c r="D616">
        <f>ROW(EtalonRes!A231)</f>
        <v>231</v>
      </c>
      <c r="E616" t="s">
        <v>321</v>
      </c>
      <c r="F616" t="s">
        <v>318</v>
      </c>
      <c r="G616" t="s">
        <v>322</v>
      </c>
      <c r="H616" t="s">
        <v>18</v>
      </c>
      <c r="I616">
        <v>150</v>
      </c>
      <c r="J616">
        <v>0</v>
      </c>
      <c r="K616">
        <v>150</v>
      </c>
      <c r="O616">
        <f t="shared" si="331"/>
        <v>89821.5</v>
      </c>
      <c r="P616">
        <f t="shared" si="332"/>
        <v>903</v>
      </c>
      <c r="Q616">
        <f t="shared" si="333"/>
        <v>0</v>
      </c>
      <c r="R616">
        <f t="shared" si="334"/>
        <v>0</v>
      </c>
      <c r="S616">
        <f t="shared" si="335"/>
        <v>88918.5</v>
      </c>
      <c r="T616">
        <f t="shared" si="336"/>
        <v>0</v>
      </c>
      <c r="U616">
        <f t="shared" si="337"/>
        <v>144</v>
      </c>
      <c r="V616">
        <f t="shared" si="338"/>
        <v>0</v>
      </c>
      <c r="W616">
        <f t="shared" si="339"/>
        <v>0</v>
      </c>
      <c r="X616">
        <f t="shared" si="340"/>
        <v>62242.95</v>
      </c>
      <c r="Y616">
        <f t="shared" si="340"/>
        <v>8891.85</v>
      </c>
      <c r="AA616">
        <v>1473080740</v>
      </c>
      <c r="AB616">
        <f t="shared" si="341"/>
        <v>598.80999999999995</v>
      </c>
      <c r="AC616">
        <f>ROUND((ES616),6)</f>
        <v>6.02</v>
      </c>
      <c r="AD616">
        <f>ROUND((((ET616)-(EU616))+AE616),6)</f>
        <v>0</v>
      </c>
      <c r="AE616">
        <f t="shared" si="362"/>
        <v>0</v>
      </c>
      <c r="AF616">
        <f t="shared" si="362"/>
        <v>592.79</v>
      </c>
      <c r="AG616">
        <f t="shared" si="342"/>
        <v>0</v>
      </c>
      <c r="AH616">
        <f t="shared" si="363"/>
        <v>0.96</v>
      </c>
      <c r="AI616">
        <f t="shared" si="363"/>
        <v>0</v>
      </c>
      <c r="AJ616">
        <f t="shared" si="343"/>
        <v>0</v>
      </c>
      <c r="AK616">
        <v>598.80999999999995</v>
      </c>
      <c r="AL616">
        <v>6.02</v>
      </c>
      <c r="AM616">
        <v>0</v>
      </c>
      <c r="AN616">
        <v>0</v>
      </c>
      <c r="AO616">
        <v>592.79</v>
      </c>
      <c r="AP616">
        <v>0</v>
      </c>
      <c r="AQ616">
        <v>0.96</v>
      </c>
      <c r="AR616">
        <v>0</v>
      </c>
      <c r="AS616">
        <v>0</v>
      </c>
      <c r="AT616">
        <v>70</v>
      </c>
      <c r="AU616">
        <v>10</v>
      </c>
      <c r="AV616">
        <v>1</v>
      </c>
      <c r="AW616">
        <v>1</v>
      </c>
      <c r="AZ616">
        <v>1</v>
      </c>
      <c r="BA616">
        <v>1</v>
      </c>
      <c r="BB616">
        <v>1</v>
      </c>
      <c r="BC616">
        <v>1</v>
      </c>
      <c r="BD616" t="s">
        <v>3</v>
      </c>
      <c r="BE616" t="s">
        <v>3</v>
      </c>
      <c r="BF616" t="s">
        <v>3</v>
      </c>
      <c r="BG616" t="s">
        <v>3</v>
      </c>
      <c r="BH616">
        <v>0</v>
      </c>
      <c r="BI616">
        <v>4</v>
      </c>
      <c r="BJ616" t="s">
        <v>320</v>
      </c>
      <c r="BM616">
        <v>0</v>
      </c>
      <c r="BN616">
        <v>0</v>
      </c>
      <c r="BO616" t="s">
        <v>3</v>
      </c>
      <c r="BP616">
        <v>0</v>
      </c>
      <c r="BQ616">
        <v>1</v>
      </c>
      <c r="BR616">
        <v>0</v>
      </c>
      <c r="BS616">
        <v>1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3</v>
      </c>
      <c r="BZ616">
        <v>70</v>
      </c>
      <c r="CA616">
        <v>10</v>
      </c>
      <c r="CB616" t="s">
        <v>3</v>
      </c>
      <c r="CE616">
        <v>0</v>
      </c>
      <c r="CF616">
        <v>0</v>
      </c>
      <c r="CG616">
        <v>0</v>
      </c>
      <c r="CM616">
        <v>0</v>
      </c>
      <c r="CN616" t="s">
        <v>3</v>
      </c>
      <c r="CO616">
        <v>0</v>
      </c>
      <c r="CP616">
        <f t="shared" si="344"/>
        <v>89821.5</v>
      </c>
      <c r="CQ616">
        <f t="shared" si="345"/>
        <v>6.02</v>
      </c>
      <c r="CR616">
        <f>((((ET616)*BB616-(EU616)*BS616)+AE616*BS616)*AV616)</f>
        <v>0</v>
      </c>
      <c r="CS616">
        <f t="shared" si="346"/>
        <v>0</v>
      </c>
      <c r="CT616">
        <f t="shared" si="347"/>
        <v>592.79</v>
      </c>
      <c r="CU616">
        <f t="shared" si="348"/>
        <v>0</v>
      </c>
      <c r="CV616">
        <f t="shared" si="349"/>
        <v>0.96</v>
      </c>
      <c r="CW616">
        <f t="shared" si="350"/>
        <v>0</v>
      </c>
      <c r="CX616">
        <f t="shared" si="350"/>
        <v>0</v>
      </c>
      <c r="CY616">
        <f t="shared" si="351"/>
        <v>62242.95</v>
      </c>
      <c r="CZ616">
        <f t="shared" si="352"/>
        <v>8891.85</v>
      </c>
      <c r="DC616" t="s">
        <v>3</v>
      </c>
      <c r="DD616" t="s">
        <v>3</v>
      </c>
      <c r="DE616" t="s">
        <v>3</v>
      </c>
      <c r="DF616" t="s">
        <v>3</v>
      </c>
      <c r="DG616" t="s">
        <v>3</v>
      </c>
      <c r="DH616" t="s">
        <v>3</v>
      </c>
      <c r="DI616" t="s">
        <v>3</v>
      </c>
      <c r="DJ616" t="s">
        <v>3</v>
      </c>
      <c r="DK616" t="s">
        <v>3</v>
      </c>
      <c r="DL616" t="s">
        <v>3</v>
      </c>
      <c r="DM616" t="s">
        <v>3</v>
      </c>
      <c r="DN616">
        <v>0</v>
      </c>
      <c r="DO616">
        <v>0</v>
      </c>
      <c r="DP616">
        <v>1</v>
      </c>
      <c r="DQ616">
        <v>1</v>
      </c>
      <c r="DU616">
        <v>16987630</v>
      </c>
      <c r="DV616" t="s">
        <v>18</v>
      </c>
      <c r="DW616" t="s">
        <v>18</v>
      </c>
      <c r="DX616">
        <v>1</v>
      </c>
      <c r="DZ616" t="s">
        <v>3</v>
      </c>
      <c r="EA616" t="s">
        <v>3</v>
      </c>
      <c r="EB616" t="s">
        <v>3</v>
      </c>
      <c r="EC616" t="s">
        <v>3</v>
      </c>
      <c r="EE616">
        <v>1441815344</v>
      </c>
      <c r="EF616">
        <v>1</v>
      </c>
      <c r="EG616" t="s">
        <v>21</v>
      </c>
      <c r="EH616">
        <v>0</v>
      </c>
      <c r="EI616" t="s">
        <v>3</v>
      </c>
      <c r="EJ616">
        <v>4</v>
      </c>
      <c r="EK616">
        <v>0</v>
      </c>
      <c r="EL616" t="s">
        <v>22</v>
      </c>
      <c r="EM616" t="s">
        <v>23</v>
      </c>
      <c r="EO616" t="s">
        <v>3</v>
      </c>
      <c r="EQ616">
        <v>0</v>
      </c>
      <c r="ER616">
        <v>598.80999999999995</v>
      </c>
      <c r="ES616">
        <v>6.02</v>
      </c>
      <c r="ET616">
        <v>0</v>
      </c>
      <c r="EU616">
        <v>0</v>
      </c>
      <c r="EV616">
        <v>592.79</v>
      </c>
      <c r="EW616">
        <v>0.96</v>
      </c>
      <c r="EX616">
        <v>0</v>
      </c>
      <c r="EY616">
        <v>0</v>
      </c>
      <c r="FQ616">
        <v>0</v>
      </c>
      <c r="FR616">
        <f t="shared" si="353"/>
        <v>0</v>
      </c>
      <c r="FS616">
        <v>0</v>
      </c>
      <c r="FX616">
        <v>70</v>
      </c>
      <c r="FY616">
        <v>10</v>
      </c>
      <c r="GA616" t="s">
        <v>3</v>
      </c>
      <c r="GD616">
        <v>0</v>
      </c>
      <c r="GF616">
        <v>-2007729471</v>
      </c>
      <c r="GG616">
        <v>2</v>
      </c>
      <c r="GH616">
        <v>1</v>
      </c>
      <c r="GI616">
        <v>-2</v>
      </c>
      <c r="GJ616">
        <v>0</v>
      </c>
      <c r="GK616">
        <f>ROUND(R616*(R12)/100,2)</f>
        <v>0</v>
      </c>
      <c r="GL616">
        <f t="shared" si="354"/>
        <v>0</v>
      </c>
      <c r="GM616">
        <f t="shared" si="355"/>
        <v>160956.29999999999</v>
      </c>
      <c r="GN616">
        <f t="shared" si="356"/>
        <v>0</v>
      </c>
      <c r="GO616">
        <f t="shared" si="357"/>
        <v>0</v>
      </c>
      <c r="GP616">
        <f t="shared" si="358"/>
        <v>160956.29999999999</v>
      </c>
      <c r="GR616">
        <v>0</v>
      </c>
      <c r="GS616">
        <v>3</v>
      </c>
      <c r="GT616">
        <v>0</v>
      </c>
      <c r="GU616" t="s">
        <v>3</v>
      </c>
      <c r="GV616">
        <f t="shared" si="359"/>
        <v>0</v>
      </c>
      <c r="GW616">
        <v>1</v>
      </c>
      <c r="GX616">
        <f t="shared" si="360"/>
        <v>0</v>
      </c>
      <c r="HA616">
        <v>0</v>
      </c>
      <c r="HB616">
        <v>0</v>
      </c>
      <c r="HC616">
        <f t="shared" si="361"/>
        <v>0</v>
      </c>
      <c r="HE616" t="s">
        <v>3</v>
      </c>
      <c r="HF616" t="s">
        <v>3</v>
      </c>
      <c r="HM616" t="s">
        <v>3</v>
      </c>
      <c r="HN616" t="s">
        <v>3</v>
      </c>
      <c r="HO616" t="s">
        <v>3</v>
      </c>
      <c r="HP616" t="s">
        <v>3</v>
      </c>
      <c r="HQ616" t="s">
        <v>3</v>
      </c>
      <c r="IK616">
        <v>0</v>
      </c>
    </row>
    <row r="617" spans="1:245" x14ac:dyDescent="0.2">
      <c r="A617">
        <v>17</v>
      </c>
      <c r="B617">
        <v>1</v>
      </c>
      <c r="C617">
        <f>ROW(SmtRes!A142)</f>
        <v>142</v>
      </c>
      <c r="D617">
        <f>ROW(EtalonRes!A235)</f>
        <v>235</v>
      </c>
      <c r="E617" t="s">
        <v>323</v>
      </c>
      <c r="F617" t="s">
        <v>318</v>
      </c>
      <c r="G617" t="s">
        <v>324</v>
      </c>
      <c r="H617" t="s">
        <v>18</v>
      </c>
      <c r="I617">
        <v>100</v>
      </c>
      <c r="J617">
        <v>0</v>
      </c>
      <c r="K617">
        <v>100</v>
      </c>
      <c r="O617">
        <f t="shared" si="331"/>
        <v>59881</v>
      </c>
      <c r="P617">
        <f t="shared" si="332"/>
        <v>602</v>
      </c>
      <c r="Q617">
        <f t="shared" si="333"/>
        <v>0</v>
      </c>
      <c r="R617">
        <f t="shared" si="334"/>
        <v>0</v>
      </c>
      <c r="S617">
        <f t="shared" si="335"/>
        <v>59279</v>
      </c>
      <c r="T617">
        <f t="shared" si="336"/>
        <v>0</v>
      </c>
      <c r="U617">
        <f t="shared" si="337"/>
        <v>96</v>
      </c>
      <c r="V617">
        <f t="shared" si="338"/>
        <v>0</v>
      </c>
      <c r="W617">
        <f t="shared" si="339"/>
        <v>0</v>
      </c>
      <c r="X617">
        <f t="shared" si="340"/>
        <v>41495.300000000003</v>
      </c>
      <c r="Y617">
        <f t="shared" si="340"/>
        <v>5927.9</v>
      </c>
      <c r="AA617">
        <v>1473080740</v>
      </c>
      <c r="AB617">
        <f t="shared" si="341"/>
        <v>598.80999999999995</v>
      </c>
      <c r="AC617">
        <f>ROUND((ES617),6)</f>
        <v>6.02</v>
      </c>
      <c r="AD617">
        <f>ROUND((((ET617)-(EU617))+AE617),6)</f>
        <v>0</v>
      </c>
      <c r="AE617">
        <f t="shared" si="362"/>
        <v>0</v>
      </c>
      <c r="AF617">
        <f t="shared" si="362"/>
        <v>592.79</v>
      </c>
      <c r="AG617">
        <f t="shared" si="342"/>
        <v>0</v>
      </c>
      <c r="AH617">
        <f t="shared" si="363"/>
        <v>0.96</v>
      </c>
      <c r="AI617">
        <f t="shared" si="363"/>
        <v>0</v>
      </c>
      <c r="AJ617">
        <f t="shared" si="343"/>
        <v>0</v>
      </c>
      <c r="AK617">
        <v>598.80999999999995</v>
      </c>
      <c r="AL617">
        <v>6.02</v>
      </c>
      <c r="AM617">
        <v>0</v>
      </c>
      <c r="AN617">
        <v>0</v>
      </c>
      <c r="AO617">
        <v>592.79</v>
      </c>
      <c r="AP617">
        <v>0</v>
      </c>
      <c r="AQ617">
        <v>0.96</v>
      </c>
      <c r="AR617">
        <v>0</v>
      </c>
      <c r="AS617">
        <v>0</v>
      </c>
      <c r="AT617">
        <v>70</v>
      </c>
      <c r="AU617">
        <v>10</v>
      </c>
      <c r="AV617">
        <v>1</v>
      </c>
      <c r="AW617">
        <v>1</v>
      </c>
      <c r="AZ617">
        <v>1</v>
      </c>
      <c r="BA617">
        <v>1</v>
      </c>
      <c r="BB617">
        <v>1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0</v>
      </c>
      <c r="BI617">
        <v>4</v>
      </c>
      <c r="BJ617" t="s">
        <v>320</v>
      </c>
      <c r="BM617">
        <v>0</v>
      </c>
      <c r="BN617">
        <v>0</v>
      </c>
      <c r="BO617" t="s">
        <v>3</v>
      </c>
      <c r="BP617">
        <v>0</v>
      </c>
      <c r="BQ617">
        <v>1</v>
      </c>
      <c r="BR617">
        <v>0</v>
      </c>
      <c r="BS617">
        <v>1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70</v>
      </c>
      <c r="CA617">
        <v>10</v>
      </c>
      <c r="CB617" t="s">
        <v>3</v>
      </c>
      <c r="CE617">
        <v>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si="344"/>
        <v>59881</v>
      </c>
      <c r="CQ617">
        <f t="shared" si="345"/>
        <v>6.02</v>
      </c>
      <c r="CR617">
        <f>((((ET617)*BB617-(EU617)*BS617)+AE617*BS617)*AV617)</f>
        <v>0</v>
      </c>
      <c r="CS617">
        <f t="shared" si="346"/>
        <v>0</v>
      </c>
      <c r="CT617">
        <f t="shared" si="347"/>
        <v>592.79</v>
      </c>
      <c r="CU617">
        <f t="shared" si="348"/>
        <v>0</v>
      </c>
      <c r="CV617">
        <f t="shared" si="349"/>
        <v>0.96</v>
      </c>
      <c r="CW617">
        <f t="shared" si="350"/>
        <v>0</v>
      </c>
      <c r="CX617">
        <f t="shared" si="350"/>
        <v>0</v>
      </c>
      <c r="CY617">
        <f t="shared" si="351"/>
        <v>41495.300000000003</v>
      </c>
      <c r="CZ617">
        <f t="shared" si="352"/>
        <v>5927.9</v>
      </c>
      <c r="DC617" t="s">
        <v>3</v>
      </c>
      <c r="DD617" t="s">
        <v>3</v>
      </c>
      <c r="DE617" t="s">
        <v>3</v>
      </c>
      <c r="DF617" t="s">
        <v>3</v>
      </c>
      <c r="DG617" t="s">
        <v>3</v>
      </c>
      <c r="DH617" t="s">
        <v>3</v>
      </c>
      <c r="DI617" t="s">
        <v>3</v>
      </c>
      <c r="DJ617" t="s">
        <v>3</v>
      </c>
      <c r="DK617" t="s">
        <v>3</v>
      </c>
      <c r="DL617" t="s">
        <v>3</v>
      </c>
      <c r="DM617" t="s">
        <v>3</v>
      </c>
      <c r="DN617">
        <v>0</v>
      </c>
      <c r="DO617">
        <v>0</v>
      </c>
      <c r="DP617">
        <v>1</v>
      </c>
      <c r="DQ617">
        <v>1</v>
      </c>
      <c r="DU617">
        <v>16987630</v>
      </c>
      <c r="DV617" t="s">
        <v>18</v>
      </c>
      <c r="DW617" t="s">
        <v>18</v>
      </c>
      <c r="DX617">
        <v>1</v>
      </c>
      <c r="DZ617" t="s">
        <v>3</v>
      </c>
      <c r="EA617" t="s">
        <v>3</v>
      </c>
      <c r="EB617" t="s">
        <v>3</v>
      </c>
      <c r="EC617" t="s">
        <v>3</v>
      </c>
      <c r="EE617">
        <v>1441815344</v>
      </c>
      <c r="EF617">
        <v>1</v>
      </c>
      <c r="EG617" t="s">
        <v>21</v>
      </c>
      <c r="EH617">
        <v>0</v>
      </c>
      <c r="EI617" t="s">
        <v>3</v>
      </c>
      <c r="EJ617">
        <v>4</v>
      </c>
      <c r="EK617">
        <v>0</v>
      </c>
      <c r="EL617" t="s">
        <v>22</v>
      </c>
      <c r="EM617" t="s">
        <v>23</v>
      </c>
      <c r="EO617" t="s">
        <v>3</v>
      </c>
      <c r="EQ617">
        <v>0</v>
      </c>
      <c r="ER617">
        <v>598.80999999999995</v>
      </c>
      <c r="ES617">
        <v>6.02</v>
      </c>
      <c r="ET617">
        <v>0</v>
      </c>
      <c r="EU617">
        <v>0</v>
      </c>
      <c r="EV617">
        <v>592.79</v>
      </c>
      <c r="EW617">
        <v>0.96</v>
      </c>
      <c r="EX617">
        <v>0</v>
      </c>
      <c r="EY617">
        <v>0</v>
      </c>
      <c r="FQ617">
        <v>0</v>
      </c>
      <c r="FR617">
        <f t="shared" si="353"/>
        <v>0</v>
      </c>
      <c r="FS617">
        <v>0</v>
      </c>
      <c r="FX617">
        <v>70</v>
      </c>
      <c r="FY617">
        <v>10</v>
      </c>
      <c r="GA617" t="s">
        <v>3</v>
      </c>
      <c r="GD617">
        <v>0</v>
      </c>
      <c r="GF617">
        <v>2142660456</v>
      </c>
      <c r="GG617">
        <v>2</v>
      </c>
      <c r="GH617">
        <v>1</v>
      </c>
      <c r="GI617">
        <v>-2</v>
      </c>
      <c r="GJ617">
        <v>0</v>
      </c>
      <c r="GK617">
        <f>ROUND(R617*(R12)/100,2)</f>
        <v>0</v>
      </c>
      <c r="GL617">
        <f t="shared" si="354"/>
        <v>0</v>
      </c>
      <c r="GM617">
        <f t="shared" si="355"/>
        <v>107304.2</v>
      </c>
      <c r="GN617">
        <f t="shared" si="356"/>
        <v>0</v>
      </c>
      <c r="GO617">
        <f t="shared" si="357"/>
        <v>0</v>
      </c>
      <c r="GP617">
        <f t="shared" si="358"/>
        <v>107304.2</v>
      </c>
      <c r="GR617">
        <v>0</v>
      </c>
      <c r="GS617">
        <v>3</v>
      </c>
      <c r="GT617">
        <v>0</v>
      </c>
      <c r="GU617" t="s">
        <v>3</v>
      </c>
      <c r="GV617">
        <f t="shared" si="359"/>
        <v>0</v>
      </c>
      <c r="GW617">
        <v>1</v>
      </c>
      <c r="GX617">
        <f t="shared" si="360"/>
        <v>0</v>
      </c>
      <c r="HA617">
        <v>0</v>
      </c>
      <c r="HB617">
        <v>0</v>
      </c>
      <c r="HC617">
        <f t="shared" si="361"/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9" spans="1:245" x14ac:dyDescent="0.2">
      <c r="A619" s="2">
        <v>51</v>
      </c>
      <c r="B619" s="2">
        <f>B607</f>
        <v>1</v>
      </c>
      <c r="C619" s="2">
        <f>A607</f>
        <v>5</v>
      </c>
      <c r="D619" s="2">
        <f>ROW(A607)</f>
        <v>607</v>
      </c>
      <c r="E619" s="2"/>
      <c r="F619" s="2" t="str">
        <f>IF(F607&lt;&gt;"",F607,"")</f>
        <v>Новый подраздел</v>
      </c>
      <c r="G619" s="2" t="str">
        <f>IF(G607&lt;&gt;"",G607,"")</f>
        <v>Электроустановочные изделия</v>
      </c>
      <c r="H619" s="2">
        <v>0</v>
      </c>
      <c r="I619" s="2"/>
      <c r="J619" s="2"/>
      <c r="K619" s="2"/>
      <c r="L619" s="2"/>
      <c r="M619" s="2"/>
      <c r="N619" s="2"/>
      <c r="O619" s="2">
        <f t="shared" ref="O619:T619" si="364">ROUND(AB619,2)</f>
        <v>153470.37</v>
      </c>
      <c r="P619" s="2">
        <f t="shared" si="364"/>
        <v>1531.19</v>
      </c>
      <c r="Q619" s="2">
        <f t="shared" si="364"/>
        <v>620.23</v>
      </c>
      <c r="R619" s="2">
        <f t="shared" si="364"/>
        <v>393.27</v>
      </c>
      <c r="S619" s="2">
        <f t="shared" si="364"/>
        <v>151318.95000000001</v>
      </c>
      <c r="T619" s="2">
        <f t="shared" si="364"/>
        <v>0</v>
      </c>
      <c r="U619" s="2">
        <f>AH619</f>
        <v>245.59800000000001</v>
      </c>
      <c r="V619" s="2">
        <f>AI619</f>
        <v>0</v>
      </c>
      <c r="W619" s="2">
        <f>ROUND(AJ619,2)</f>
        <v>0</v>
      </c>
      <c r="X619" s="2">
        <f>ROUND(AK619,2)</f>
        <v>105923.26</v>
      </c>
      <c r="Y619" s="2">
        <f>ROUND(AL619,2)</f>
        <v>15131.9</v>
      </c>
      <c r="Z619" s="2"/>
      <c r="AA619" s="2"/>
      <c r="AB619" s="2">
        <f>ROUND(SUMIF(AA611:AA617,"=1473080740",O611:O617),2)</f>
        <v>153470.37</v>
      </c>
      <c r="AC619" s="2">
        <f>ROUND(SUMIF(AA611:AA617,"=1473080740",P611:P617),2)</f>
        <v>1531.19</v>
      </c>
      <c r="AD619" s="2">
        <f>ROUND(SUMIF(AA611:AA617,"=1473080740",Q611:Q617),2)</f>
        <v>620.23</v>
      </c>
      <c r="AE619" s="2">
        <f>ROUND(SUMIF(AA611:AA617,"=1473080740",R611:R617),2)</f>
        <v>393.27</v>
      </c>
      <c r="AF619" s="2">
        <f>ROUND(SUMIF(AA611:AA617,"=1473080740",S611:S617),2)</f>
        <v>151318.95000000001</v>
      </c>
      <c r="AG619" s="2">
        <f>ROUND(SUMIF(AA611:AA617,"=1473080740",T611:T617),2)</f>
        <v>0</v>
      </c>
      <c r="AH619" s="2">
        <f>SUMIF(AA611:AA617,"=1473080740",U611:U617)</f>
        <v>245.59800000000001</v>
      </c>
      <c r="AI619" s="2">
        <f>SUMIF(AA611:AA617,"=1473080740",V611:V617)</f>
        <v>0</v>
      </c>
      <c r="AJ619" s="2">
        <f>ROUND(SUMIF(AA611:AA617,"=1473080740",W611:W617),2)</f>
        <v>0</v>
      </c>
      <c r="AK619" s="2">
        <f>ROUND(SUMIF(AA611:AA617,"=1473080740",X611:X617),2)</f>
        <v>105923.26</v>
      </c>
      <c r="AL619" s="2">
        <f>ROUND(SUMIF(AA611:AA617,"=1473080740",Y611:Y617),2)</f>
        <v>15131.9</v>
      </c>
      <c r="AM619" s="2"/>
      <c r="AN619" s="2"/>
      <c r="AO619" s="2">
        <f t="shared" ref="AO619:BD619" si="365">ROUND(BX619,2)</f>
        <v>0</v>
      </c>
      <c r="AP619" s="2">
        <f t="shared" si="365"/>
        <v>0</v>
      </c>
      <c r="AQ619" s="2">
        <f t="shared" si="365"/>
        <v>0</v>
      </c>
      <c r="AR619" s="2">
        <f t="shared" si="365"/>
        <v>274950.26</v>
      </c>
      <c r="AS619" s="2">
        <f t="shared" si="365"/>
        <v>0</v>
      </c>
      <c r="AT619" s="2">
        <f t="shared" si="365"/>
        <v>0</v>
      </c>
      <c r="AU619" s="2">
        <f t="shared" si="365"/>
        <v>274950.26</v>
      </c>
      <c r="AV619" s="2">
        <f t="shared" si="365"/>
        <v>1531.19</v>
      </c>
      <c r="AW619" s="2">
        <f t="shared" si="365"/>
        <v>1531.19</v>
      </c>
      <c r="AX619" s="2">
        <f t="shared" si="365"/>
        <v>0</v>
      </c>
      <c r="AY619" s="2">
        <f t="shared" si="365"/>
        <v>1531.19</v>
      </c>
      <c r="AZ619" s="2">
        <f t="shared" si="365"/>
        <v>0</v>
      </c>
      <c r="BA619" s="2">
        <f t="shared" si="365"/>
        <v>0</v>
      </c>
      <c r="BB619" s="2">
        <f t="shared" si="365"/>
        <v>0</v>
      </c>
      <c r="BC619" s="2">
        <f t="shared" si="365"/>
        <v>0</v>
      </c>
      <c r="BD619" s="2">
        <f t="shared" si="365"/>
        <v>0</v>
      </c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>
        <f>ROUND(SUMIF(AA611:AA617,"=1473080740",FQ611:FQ617),2)</f>
        <v>0</v>
      </c>
      <c r="BY619" s="2">
        <f>ROUND(SUMIF(AA611:AA617,"=1473080740",FR611:FR617),2)</f>
        <v>0</v>
      </c>
      <c r="BZ619" s="2">
        <f>ROUND(SUMIF(AA611:AA617,"=1473080740",GL611:GL617),2)</f>
        <v>0</v>
      </c>
      <c r="CA619" s="2">
        <f>ROUND(SUMIF(AA611:AA617,"=1473080740",GM611:GM617),2)</f>
        <v>274950.26</v>
      </c>
      <c r="CB619" s="2">
        <f>ROUND(SUMIF(AA611:AA617,"=1473080740",GN611:GN617),2)</f>
        <v>0</v>
      </c>
      <c r="CC619" s="2">
        <f>ROUND(SUMIF(AA611:AA617,"=1473080740",GO611:GO617),2)</f>
        <v>0</v>
      </c>
      <c r="CD619" s="2">
        <f>ROUND(SUMIF(AA611:AA617,"=1473080740",GP611:GP617),2)</f>
        <v>274950.26</v>
      </c>
      <c r="CE619" s="2">
        <f>AC619-BX619</f>
        <v>1531.19</v>
      </c>
      <c r="CF619" s="2">
        <f>AC619-BY619</f>
        <v>1531.19</v>
      </c>
      <c r="CG619" s="2">
        <f>BX619-BZ619</f>
        <v>0</v>
      </c>
      <c r="CH619" s="2">
        <f>AC619-BX619-BY619+BZ619</f>
        <v>1531.19</v>
      </c>
      <c r="CI619" s="2">
        <f>BY619-BZ619</f>
        <v>0</v>
      </c>
      <c r="CJ619" s="2">
        <f>ROUND(SUMIF(AA611:AA617,"=1473080740",GX611:GX617),2)</f>
        <v>0</v>
      </c>
      <c r="CK619" s="2">
        <f>ROUND(SUMIF(AA611:AA617,"=1473080740",GY611:GY617),2)</f>
        <v>0</v>
      </c>
      <c r="CL619" s="2">
        <f>ROUND(SUMIF(AA611:AA617,"=1473080740",GZ611:GZ617),2)</f>
        <v>0</v>
      </c>
      <c r="CM619" s="2">
        <f>ROUND(SUMIF(AA611:AA617,"=1473080740",HD611:HD617),2)</f>
        <v>0</v>
      </c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3"/>
      <c r="DH619" s="3"/>
      <c r="DI619" s="3"/>
      <c r="DJ619" s="3"/>
      <c r="DK619" s="3"/>
      <c r="DL619" s="3"/>
      <c r="DM619" s="3"/>
      <c r="DN619" s="3"/>
      <c r="DO619" s="3"/>
      <c r="DP619" s="3"/>
      <c r="DQ619" s="3"/>
      <c r="DR619" s="3"/>
      <c r="DS619" s="3"/>
      <c r="DT619" s="3"/>
      <c r="DU619" s="3"/>
      <c r="DV619" s="3"/>
      <c r="DW619" s="3"/>
      <c r="DX619" s="3"/>
      <c r="DY619" s="3"/>
      <c r="DZ619" s="3"/>
      <c r="EA619" s="3"/>
      <c r="EB619" s="3"/>
      <c r="EC619" s="3"/>
      <c r="ED619" s="3"/>
      <c r="EE619" s="3"/>
      <c r="EF619" s="3"/>
      <c r="EG619" s="3"/>
      <c r="EH619" s="3"/>
      <c r="EI619" s="3"/>
      <c r="EJ619" s="3"/>
      <c r="EK619" s="3"/>
      <c r="EL619" s="3"/>
      <c r="EM619" s="3"/>
      <c r="EN619" s="3"/>
      <c r="EO619" s="3"/>
      <c r="EP619" s="3"/>
      <c r="EQ619" s="3"/>
      <c r="ER619" s="3"/>
      <c r="ES619" s="3"/>
      <c r="ET619" s="3"/>
      <c r="EU619" s="3"/>
      <c r="EV619" s="3"/>
      <c r="EW619" s="3"/>
      <c r="EX619" s="3"/>
      <c r="EY619" s="3"/>
      <c r="EZ619" s="3"/>
      <c r="FA619" s="3"/>
      <c r="FB619" s="3"/>
      <c r="FC619" s="3"/>
      <c r="FD619" s="3"/>
      <c r="FE619" s="3"/>
      <c r="FF619" s="3"/>
      <c r="FG619" s="3"/>
      <c r="FH619" s="3"/>
      <c r="FI619" s="3"/>
      <c r="FJ619" s="3"/>
      <c r="FK619" s="3"/>
      <c r="FL619" s="3"/>
      <c r="FM619" s="3"/>
      <c r="FN619" s="3"/>
      <c r="FO619" s="3"/>
      <c r="FP619" s="3"/>
      <c r="FQ619" s="3"/>
      <c r="FR619" s="3"/>
      <c r="FS619" s="3"/>
      <c r="FT619" s="3"/>
      <c r="FU619" s="3"/>
      <c r="FV619" s="3"/>
      <c r="FW619" s="3"/>
      <c r="FX619" s="3"/>
      <c r="FY619" s="3"/>
      <c r="FZ619" s="3"/>
      <c r="GA619" s="3"/>
      <c r="GB619" s="3"/>
      <c r="GC619" s="3"/>
      <c r="GD619" s="3"/>
      <c r="GE619" s="3"/>
      <c r="GF619" s="3"/>
      <c r="GG619" s="3"/>
      <c r="GH619" s="3"/>
      <c r="GI619" s="3"/>
      <c r="GJ619" s="3"/>
      <c r="GK619" s="3"/>
      <c r="GL619" s="3"/>
      <c r="GM619" s="3"/>
      <c r="GN619" s="3"/>
      <c r="GO619" s="3"/>
      <c r="GP619" s="3"/>
      <c r="GQ619" s="3"/>
      <c r="GR619" s="3"/>
      <c r="GS619" s="3"/>
      <c r="GT619" s="3"/>
      <c r="GU619" s="3"/>
      <c r="GV619" s="3"/>
      <c r="GW619" s="3"/>
      <c r="GX619" s="3">
        <v>0</v>
      </c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201</v>
      </c>
      <c r="F621" s="4">
        <f>ROUND(Source!O619,O621)</f>
        <v>153470.37</v>
      </c>
      <c r="G621" s="4" t="s">
        <v>43</v>
      </c>
      <c r="H621" s="4" t="s">
        <v>44</v>
      </c>
      <c r="I621" s="4"/>
      <c r="J621" s="4"/>
      <c r="K621" s="4">
        <v>201</v>
      </c>
      <c r="L621" s="4">
        <v>1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153470.37</v>
      </c>
      <c r="X621" s="4">
        <v>1</v>
      </c>
      <c r="Y621" s="4">
        <v>153470.37</v>
      </c>
      <c r="Z621" s="4"/>
      <c r="AA621" s="4"/>
      <c r="AB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202</v>
      </c>
      <c r="F622" s="4">
        <f>ROUND(Source!P619,O622)</f>
        <v>1531.19</v>
      </c>
      <c r="G622" s="4" t="s">
        <v>45</v>
      </c>
      <c r="H622" s="4" t="s">
        <v>46</v>
      </c>
      <c r="I622" s="4"/>
      <c r="J622" s="4"/>
      <c r="K622" s="4">
        <v>202</v>
      </c>
      <c r="L622" s="4">
        <v>2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1531.19</v>
      </c>
      <c r="X622" s="4">
        <v>1</v>
      </c>
      <c r="Y622" s="4">
        <v>1531.19</v>
      </c>
      <c r="Z622" s="4"/>
      <c r="AA622" s="4"/>
      <c r="AB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222</v>
      </c>
      <c r="F623" s="4">
        <f>ROUND(Source!AO619,O623)</f>
        <v>0</v>
      </c>
      <c r="G623" s="4" t="s">
        <v>47</v>
      </c>
      <c r="H623" s="4" t="s">
        <v>48</v>
      </c>
      <c r="I623" s="4"/>
      <c r="J623" s="4"/>
      <c r="K623" s="4">
        <v>222</v>
      </c>
      <c r="L623" s="4">
        <v>3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225</v>
      </c>
      <c r="F624" s="4">
        <f>ROUND(Source!AV619,O624)</f>
        <v>1531.19</v>
      </c>
      <c r="G624" s="4" t="s">
        <v>49</v>
      </c>
      <c r="H624" s="4" t="s">
        <v>50</v>
      </c>
      <c r="I624" s="4"/>
      <c r="J624" s="4"/>
      <c r="K624" s="4">
        <v>225</v>
      </c>
      <c r="L624" s="4">
        <v>4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1531.19</v>
      </c>
      <c r="X624" s="4">
        <v>1</v>
      </c>
      <c r="Y624" s="4">
        <v>1531.19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226</v>
      </c>
      <c r="F625" s="4">
        <f>ROUND(Source!AW619,O625)</f>
        <v>1531.19</v>
      </c>
      <c r="G625" s="4" t="s">
        <v>51</v>
      </c>
      <c r="H625" s="4" t="s">
        <v>52</v>
      </c>
      <c r="I625" s="4"/>
      <c r="J625" s="4"/>
      <c r="K625" s="4">
        <v>226</v>
      </c>
      <c r="L625" s="4">
        <v>5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1531.19</v>
      </c>
      <c r="X625" s="4">
        <v>1</v>
      </c>
      <c r="Y625" s="4">
        <v>1531.19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227</v>
      </c>
      <c r="F626" s="4">
        <f>ROUND(Source!AX619,O626)</f>
        <v>0</v>
      </c>
      <c r="G626" s="4" t="s">
        <v>53</v>
      </c>
      <c r="H626" s="4" t="s">
        <v>54</v>
      </c>
      <c r="I626" s="4"/>
      <c r="J626" s="4"/>
      <c r="K626" s="4">
        <v>227</v>
      </c>
      <c r="L626" s="4">
        <v>6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228</v>
      </c>
      <c r="F627" s="4">
        <f>ROUND(Source!AY619,O627)</f>
        <v>1531.19</v>
      </c>
      <c r="G627" s="4" t="s">
        <v>55</v>
      </c>
      <c r="H627" s="4" t="s">
        <v>56</v>
      </c>
      <c r="I627" s="4"/>
      <c r="J627" s="4"/>
      <c r="K627" s="4">
        <v>228</v>
      </c>
      <c r="L627" s="4">
        <v>7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1531.19</v>
      </c>
      <c r="X627" s="4">
        <v>1</v>
      </c>
      <c r="Y627" s="4">
        <v>1531.19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216</v>
      </c>
      <c r="F628" s="4">
        <f>ROUND(Source!AP619,O628)</f>
        <v>0</v>
      </c>
      <c r="G628" s="4" t="s">
        <v>57</v>
      </c>
      <c r="H628" s="4" t="s">
        <v>58</v>
      </c>
      <c r="I628" s="4"/>
      <c r="J628" s="4"/>
      <c r="K628" s="4">
        <v>216</v>
      </c>
      <c r="L628" s="4">
        <v>8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223</v>
      </c>
      <c r="F629" s="4">
        <f>ROUND(Source!AQ619,O629)</f>
        <v>0</v>
      </c>
      <c r="G629" s="4" t="s">
        <v>59</v>
      </c>
      <c r="H629" s="4" t="s">
        <v>60</v>
      </c>
      <c r="I629" s="4"/>
      <c r="J629" s="4"/>
      <c r="K629" s="4">
        <v>223</v>
      </c>
      <c r="L629" s="4">
        <v>9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229</v>
      </c>
      <c r="F630" s="4">
        <f>ROUND(Source!AZ619,O630)</f>
        <v>0</v>
      </c>
      <c r="G630" s="4" t="s">
        <v>61</v>
      </c>
      <c r="H630" s="4" t="s">
        <v>62</v>
      </c>
      <c r="I630" s="4"/>
      <c r="J630" s="4"/>
      <c r="K630" s="4">
        <v>229</v>
      </c>
      <c r="L630" s="4">
        <v>10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203</v>
      </c>
      <c r="F631" s="4">
        <f>ROUND(Source!Q619,O631)</f>
        <v>620.23</v>
      </c>
      <c r="G631" s="4" t="s">
        <v>63</v>
      </c>
      <c r="H631" s="4" t="s">
        <v>64</v>
      </c>
      <c r="I631" s="4"/>
      <c r="J631" s="4"/>
      <c r="K631" s="4">
        <v>203</v>
      </c>
      <c r="L631" s="4">
        <v>11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620.23</v>
      </c>
      <c r="X631" s="4">
        <v>1</v>
      </c>
      <c r="Y631" s="4">
        <v>620.23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231</v>
      </c>
      <c r="F632" s="4">
        <f>ROUND(Source!BB619,O632)</f>
        <v>0</v>
      </c>
      <c r="G632" s="4" t="s">
        <v>65</v>
      </c>
      <c r="H632" s="4" t="s">
        <v>66</v>
      </c>
      <c r="I632" s="4"/>
      <c r="J632" s="4"/>
      <c r="K632" s="4">
        <v>231</v>
      </c>
      <c r="L632" s="4">
        <v>12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204</v>
      </c>
      <c r="F633" s="4">
        <f>ROUND(Source!R619,O633)</f>
        <v>393.27</v>
      </c>
      <c r="G633" s="4" t="s">
        <v>67</v>
      </c>
      <c r="H633" s="4" t="s">
        <v>68</v>
      </c>
      <c r="I633" s="4"/>
      <c r="J633" s="4"/>
      <c r="K633" s="4">
        <v>204</v>
      </c>
      <c r="L633" s="4">
        <v>13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393.27</v>
      </c>
      <c r="X633" s="4">
        <v>1</v>
      </c>
      <c r="Y633" s="4">
        <v>393.27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205</v>
      </c>
      <c r="F634" s="4">
        <f>ROUND(Source!S619,O634)</f>
        <v>151318.95000000001</v>
      </c>
      <c r="G634" s="4" t="s">
        <v>69</v>
      </c>
      <c r="H634" s="4" t="s">
        <v>70</v>
      </c>
      <c r="I634" s="4"/>
      <c r="J634" s="4"/>
      <c r="K634" s="4">
        <v>205</v>
      </c>
      <c r="L634" s="4">
        <v>14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151318.95000000001</v>
      </c>
      <c r="X634" s="4">
        <v>1</v>
      </c>
      <c r="Y634" s="4">
        <v>151318.95000000001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232</v>
      </c>
      <c r="F635" s="4">
        <f>ROUND(Source!BC619,O635)</f>
        <v>0</v>
      </c>
      <c r="G635" s="4" t="s">
        <v>71</v>
      </c>
      <c r="H635" s="4" t="s">
        <v>72</v>
      </c>
      <c r="I635" s="4"/>
      <c r="J635" s="4"/>
      <c r="K635" s="4">
        <v>232</v>
      </c>
      <c r="L635" s="4">
        <v>15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214</v>
      </c>
      <c r="F636" s="4">
        <f>ROUND(Source!AS619,O636)</f>
        <v>0</v>
      </c>
      <c r="G636" s="4" t="s">
        <v>73</v>
      </c>
      <c r="H636" s="4" t="s">
        <v>74</v>
      </c>
      <c r="I636" s="4"/>
      <c r="J636" s="4"/>
      <c r="K636" s="4">
        <v>214</v>
      </c>
      <c r="L636" s="4">
        <v>16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0</v>
      </c>
      <c r="X636" s="4">
        <v>1</v>
      </c>
      <c r="Y636" s="4">
        <v>0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215</v>
      </c>
      <c r="F637" s="4">
        <f>ROUND(Source!AT619,O637)</f>
        <v>0</v>
      </c>
      <c r="G637" s="4" t="s">
        <v>75</v>
      </c>
      <c r="H637" s="4" t="s">
        <v>76</v>
      </c>
      <c r="I637" s="4"/>
      <c r="J637" s="4"/>
      <c r="K637" s="4">
        <v>215</v>
      </c>
      <c r="L637" s="4">
        <v>17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217</v>
      </c>
      <c r="F638" s="4">
        <f>ROUND(Source!AU619,O638)</f>
        <v>274950.26</v>
      </c>
      <c r="G638" s="4" t="s">
        <v>77</v>
      </c>
      <c r="H638" s="4" t="s">
        <v>78</v>
      </c>
      <c r="I638" s="4"/>
      <c r="J638" s="4"/>
      <c r="K638" s="4">
        <v>217</v>
      </c>
      <c r="L638" s="4">
        <v>18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274950.26</v>
      </c>
      <c r="X638" s="4">
        <v>1</v>
      </c>
      <c r="Y638" s="4">
        <v>274950.26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230</v>
      </c>
      <c r="F639" s="4">
        <f>ROUND(Source!BA619,O639)</f>
        <v>0</v>
      </c>
      <c r="G639" s="4" t="s">
        <v>79</v>
      </c>
      <c r="H639" s="4" t="s">
        <v>80</v>
      </c>
      <c r="I639" s="4"/>
      <c r="J639" s="4"/>
      <c r="K639" s="4">
        <v>230</v>
      </c>
      <c r="L639" s="4">
        <v>19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206</v>
      </c>
      <c r="F640" s="4">
        <f>ROUND(Source!T619,O640)</f>
        <v>0</v>
      </c>
      <c r="G640" s="4" t="s">
        <v>81</v>
      </c>
      <c r="H640" s="4" t="s">
        <v>82</v>
      </c>
      <c r="I640" s="4"/>
      <c r="J640" s="4"/>
      <c r="K640" s="4">
        <v>206</v>
      </c>
      <c r="L640" s="4">
        <v>20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45" x14ac:dyDescent="0.2">
      <c r="A641" s="4">
        <v>50</v>
      </c>
      <c r="B641" s="4">
        <v>0</v>
      </c>
      <c r="C641" s="4">
        <v>0</v>
      </c>
      <c r="D641" s="4">
        <v>1</v>
      </c>
      <c r="E641" s="4">
        <v>207</v>
      </c>
      <c r="F641" s="4">
        <f>Source!U619</f>
        <v>245.59800000000001</v>
      </c>
      <c r="G641" s="4" t="s">
        <v>83</v>
      </c>
      <c r="H641" s="4" t="s">
        <v>84</v>
      </c>
      <c r="I641" s="4"/>
      <c r="J641" s="4"/>
      <c r="K641" s="4">
        <v>207</v>
      </c>
      <c r="L641" s="4">
        <v>21</v>
      </c>
      <c r="M641" s="4">
        <v>3</v>
      </c>
      <c r="N641" s="4" t="s">
        <v>3</v>
      </c>
      <c r="O641" s="4">
        <v>-1</v>
      </c>
      <c r="P641" s="4"/>
      <c r="Q641" s="4"/>
      <c r="R641" s="4"/>
      <c r="S641" s="4"/>
      <c r="T641" s="4"/>
      <c r="U641" s="4"/>
      <c r="V641" s="4"/>
      <c r="W641" s="4">
        <v>245.59800000000001</v>
      </c>
      <c r="X641" s="4">
        <v>1</v>
      </c>
      <c r="Y641" s="4">
        <v>245.59800000000001</v>
      </c>
      <c r="Z641" s="4"/>
      <c r="AA641" s="4"/>
      <c r="AB641" s="4"/>
    </row>
    <row r="642" spans="1:245" x14ac:dyDescent="0.2">
      <c r="A642" s="4">
        <v>50</v>
      </c>
      <c r="B642" s="4">
        <v>0</v>
      </c>
      <c r="C642" s="4">
        <v>0</v>
      </c>
      <c r="D642" s="4">
        <v>1</v>
      </c>
      <c r="E642" s="4">
        <v>208</v>
      </c>
      <c r="F642" s="4">
        <f>Source!V619</f>
        <v>0</v>
      </c>
      <c r="G642" s="4" t="s">
        <v>85</v>
      </c>
      <c r="H642" s="4" t="s">
        <v>86</v>
      </c>
      <c r="I642" s="4"/>
      <c r="J642" s="4"/>
      <c r="K642" s="4">
        <v>208</v>
      </c>
      <c r="L642" s="4">
        <v>22</v>
      </c>
      <c r="M642" s="4">
        <v>3</v>
      </c>
      <c r="N642" s="4" t="s">
        <v>3</v>
      </c>
      <c r="O642" s="4">
        <v>-1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45" x14ac:dyDescent="0.2">
      <c r="A643" s="4">
        <v>50</v>
      </c>
      <c r="B643" s="4">
        <v>0</v>
      </c>
      <c r="C643" s="4">
        <v>0</v>
      </c>
      <c r="D643" s="4">
        <v>1</v>
      </c>
      <c r="E643" s="4">
        <v>209</v>
      </c>
      <c r="F643" s="4">
        <f>ROUND(Source!W619,O643)</f>
        <v>0</v>
      </c>
      <c r="G643" s="4" t="s">
        <v>87</v>
      </c>
      <c r="H643" s="4" t="s">
        <v>88</v>
      </c>
      <c r="I643" s="4"/>
      <c r="J643" s="4"/>
      <c r="K643" s="4">
        <v>209</v>
      </c>
      <c r="L643" s="4">
        <v>23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0</v>
      </c>
      <c r="X643" s="4">
        <v>1</v>
      </c>
      <c r="Y643" s="4">
        <v>0</v>
      </c>
      <c r="Z643" s="4"/>
      <c r="AA643" s="4"/>
      <c r="AB643" s="4"/>
    </row>
    <row r="644" spans="1:245" x14ac:dyDescent="0.2">
      <c r="A644" s="4">
        <v>50</v>
      </c>
      <c r="B644" s="4">
        <v>0</v>
      </c>
      <c r="C644" s="4">
        <v>0</v>
      </c>
      <c r="D644" s="4">
        <v>1</v>
      </c>
      <c r="E644" s="4">
        <v>233</v>
      </c>
      <c r="F644" s="4">
        <f>ROUND(Source!BD619,O644)</f>
        <v>0</v>
      </c>
      <c r="G644" s="4" t="s">
        <v>89</v>
      </c>
      <c r="H644" s="4" t="s">
        <v>90</v>
      </c>
      <c r="I644" s="4"/>
      <c r="J644" s="4"/>
      <c r="K644" s="4">
        <v>233</v>
      </c>
      <c r="L644" s="4">
        <v>24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45" x14ac:dyDescent="0.2">
      <c r="A645" s="4">
        <v>50</v>
      </c>
      <c r="B645" s="4">
        <v>0</v>
      </c>
      <c r="C645" s="4">
        <v>0</v>
      </c>
      <c r="D645" s="4">
        <v>1</v>
      </c>
      <c r="E645" s="4">
        <v>210</v>
      </c>
      <c r="F645" s="4">
        <f>ROUND(Source!X619,O645)</f>
        <v>105923.26</v>
      </c>
      <c r="G645" s="4" t="s">
        <v>91</v>
      </c>
      <c r="H645" s="4" t="s">
        <v>92</v>
      </c>
      <c r="I645" s="4"/>
      <c r="J645" s="4"/>
      <c r="K645" s="4">
        <v>210</v>
      </c>
      <c r="L645" s="4">
        <v>25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105923.26</v>
      </c>
      <c r="X645" s="4">
        <v>1</v>
      </c>
      <c r="Y645" s="4">
        <v>105923.26</v>
      </c>
      <c r="Z645" s="4"/>
      <c r="AA645" s="4"/>
      <c r="AB645" s="4"/>
    </row>
    <row r="646" spans="1:245" x14ac:dyDescent="0.2">
      <c r="A646" s="4">
        <v>50</v>
      </c>
      <c r="B646" s="4">
        <v>0</v>
      </c>
      <c r="C646" s="4">
        <v>0</v>
      </c>
      <c r="D646" s="4">
        <v>1</v>
      </c>
      <c r="E646" s="4">
        <v>211</v>
      </c>
      <c r="F646" s="4">
        <f>ROUND(Source!Y619,O646)</f>
        <v>15131.9</v>
      </c>
      <c r="G646" s="4" t="s">
        <v>93</v>
      </c>
      <c r="H646" s="4" t="s">
        <v>94</v>
      </c>
      <c r="I646" s="4"/>
      <c r="J646" s="4"/>
      <c r="K646" s="4">
        <v>211</v>
      </c>
      <c r="L646" s="4">
        <v>26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15131.9</v>
      </c>
      <c r="X646" s="4">
        <v>1</v>
      </c>
      <c r="Y646" s="4">
        <v>15131.9</v>
      </c>
      <c r="Z646" s="4"/>
      <c r="AA646" s="4"/>
      <c r="AB646" s="4"/>
    </row>
    <row r="647" spans="1:245" x14ac:dyDescent="0.2">
      <c r="A647" s="4">
        <v>50</v>
      </c>
      <c r="B647" s="4">
        <v>0</v>
      </c>
      <c r="C647" s="4">
        <v>0</v>
      </c>
      <c r="D647" s="4">
        <v>1</v>
      </c>
      <c r="E647" s="4">
        <v>224</v>
      </c>
      <c r="F647" s="4">
        <f>ROUND(Source!AR619,O647)</f>
        <v>274950.26</v>
      </c>
      <c r="G647" s="4" t="s">
        <v>95</v>
      </c>
      <c r="H647" s="4" t="s">
        <v>96</v>
      </c>
      <c r="I647" s="4"/>
      <c r="J647" s="4"/>
      <c r="K647" s="4">
        <v>224</v>
      </c>
      <c r="L647" s="4">
        <v>27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274950.26</v>
      </c>
      <c r="X647" s="4">
        <v>1</v>
      </c>
      <c r="Y647" s="4">
        <v>274950.26</v>
      </c>
      <c r="Z647" s="4"/>
      <c r="AA647" s="4"/>
      <c r="AB647" s="4"/>
    </row>
    <row r="649" spans="1:245" x14ac:dyDescent="0.2">
      <c r="A649" s="1">
        <v>5</v>
      </c>
      <c r="B649" s="1">
        <v>1</v>
      </c>
      <c r="C649" s="1"/>
      <c r="D649" s="1">
        <f>ROW(A673)</f>
        <v>673</v>
      </c>
      <c r="E649" s="1"/>
      <c r="F649" s="1" t="s">
        <v>14</v>
      </c>
      <c r="G649" s="1" t="s">
        <v>325</v>
      </c>
      <c r="H649" s="1" t="s">
        <v>3</v>
      </c>
      <c r="I649" s="1">
        <v>0</v>
      </c>
      <c r="J649" s="1"/>
      <c r="K649" s="1">
        <v>-1</v>
      </c>
      <c r="L649" s="1"/>
      <c r="M649" s="1" t="s">
        <v>3</v>
      </c>
      <c r="N649" s="1"/>
      <c r="O649" s="1"/>
      <c r="P649" s="1"/>
      <c r="Q649" s="1"/>
      <c r="R649" s="1"/>
      <c r="S649" s="1">
        <v>0</v>
      </c>
      <c r="T649" s="1"/>
      <c r="U649" s="1" t="s">
        <v>3</v>
      </c>
      <c r="V649" s="1">
        <v>0</v>
      </c>
      <c r="W649" s="1"/>
      <c r="X649" s="1"/>
      <c r="Y649" s="1"/>
      <c r="Z649" s="1"/>
      <c r="AA649" s="1"/>
      <c r="AB649" s="1" t="s">
        <v>3</v>
      </c>
      <c r="AC649" s="1" t="s">
        <v>3</v>
      </c>
      <c r="AD649" s="1" t="s">
        <v>3</v>
      </c>
      <c r="AE649" s="1" t="s">
        <v>3</v>
      </c>
      <c r="AF649" s="1" t="s">
        <v>3</v>
      </c>
      <c r="AG649" s="1" t="s">
        <v>3</v>
      </c>
      <c r="AH649" s="1"/>
      <c r="AI649" s="1"/>
      <c r="AJ649" s="1"/>
      <c r="AK649" s="1"/>
      <c r="AL649" s="1"/>
      <c r="AM649" s="1"/>
      <c r="AN649" s="1"/>
      <c r="AO649" s="1"/>
      <c r="AP649" s="1" t="s">
        <v>3</v>
      </c>
      <c r="AQ649" s="1" t="s">
        <v>3</v>
      </c>
      <c r="AR649" s="1" t="s">
        <v>3</v>
      </c>
      <c r="AS649" s="1"/>
      <c r="AT649" s="1"/>
      <c r="AU649" s="1"/>
      <c r="AV649" s="1"/>
      <c r="AW649" s="1"/>
      <c r="AX649" s="1"/>
      <c r="AY649" s="1"/>
      <c r="AZ649" s="1" t="s">
        <v>3</v>
      </c>
      <c r="BA649" s="1"/>
      <c r="BB649" s="1" t="s">
        <v>3</v>
      </c>
      <c r="BC649" s="1" t="s">
        <v>3</v>
      </c>
      <c r="BD649" s="1" t="s">
        <v>3</v>
      </c>
      <c r="BE649" s="1" t="s">
        <v>3</v>
      </c>
      <c r="BF649" s="1" t="s">
        <v>3</v>
      </c>
      <c r="BG649" s="1" t="s">
        <v>3</v>
      </c>
      <c r="BH649" s="1" t="s">
        <v>3</v>
      </c>
      <c r="BI649" s="1" t="s">
        <v>3</v>
      </c>
      <c r="BJ649" s="1" t="s">
        <v>3</v>
      </c>
      <c r="BK649" s="1" t="s">
        <v>3</v>
      </c>
      <c r="BL649" s="1" t="s">
        <v>3</v>
      </c>
      <c r="BM649" s="1" t="s">
        <v>3</v>
      </c>
      <c r="BN649" s="1" t="s">
        <v>3</v>
      </c>
      <c r="BO649" s="1" t="s">
        <v>3</v>
      </c>
      <c r="BP649" s="1" t="s">
        <v>3</v>
      </c>
      <c r="BQ649" s="1"/>
      <c r="BR649" s="1"/>
      <c r="BS649" s="1"/>
      <c r="BT649" s="1"/>
      <c r="BU649" s="1"/>
      <c r="BV649" s="1"/>
      <c r="BW649" s="1"/>
      <c r="BX649" s="1">
        <v>0</v>
      </c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>
        <v>0</v>
      </c>
    </row>
    <row r="651" spans="1:245" x14ac:dyDescent="0.2">
      <c r="A651" s="2">
        <v>52</v>
      </c>
      <c r="B651" s="2">
        <f t="shared" ref="B651:G651" si="366">B673</f>
        <v>1</v>
      </c>
      <c r="C651" s="2">
        <f t="shared" si="366"/>
        <v>5</v>
      </c>
      <c r="D651" s="2">
        <f t="shared" si="366"/>
        <v>649</v>
      </c>
      <c r="E651" s="2">
        <f t="shared" si="366"/>
        <v>0</v>
      </c>
      <c r="F651" s="2" t="str">
        <f t="shared" si="366"/>
        <v>Новый подраздел</v>
      </c>
      <c r="G651" s="2" t="str">
        <f t="shared" si="366"/>
        <v>Кабели и провода</v>
      </c>
      <c r="H651" s="2"/>
      <c r="I651" s="2"/>
      <c r="J651" s="2"/>
      <c r="K651" s="2"/>
      <c r="L651" s="2"/>
      <c r="M651" s="2"/>
      <c r="N651" s="2"/>
      <c r="O651" s="2">
        <f t="shared" ref="O651:AT651" si="367">O673</f>
        <v>9358.76</v>
      </c>
      <c r="P651" s="2">
        <f t="shared" si="367"/>
        <v>34.08</v>
      </c>
      <c r="Q651" s="2">
        <f t="shared" si="367"/>
        <v>0</v>
      </c>
      <c r="R651" s="2">
        <f t="shared" si="367"/>
        <v>0</v>
      </c>
      <c r="S651" s="2">
        <f t="shared" si="367"/>
        <v>9324.68</v>
      </c>
      <c r="T651" s="2">
        <f t="shared" si="367"/>
        <v>0</v>
      </c>
      <c r="U651" s="2">
        <f t="shared" si="367"/>
        <v>17.054279999999999</v>
      </c>
      <c r="V651" s="2">
        <f t="shared" si="367"/>
        <v>0</v>
      </c>
      <c r="W651" s="2">
        <f t="shared" si="367"/>
        <v>0</v>
      </c>
      <c r="X651" s="2">
        <f t="shared" si="367"/>
        <v>6527.28</v>
      </c>
      <c r="Y651" s="2">
        <f t="shared" si="367"/>
        <v>932.47</v>
      </c>
      <c r="Z651" s="2">
        <f t="shared" si="367"/>
        <v>0</v>
      </c>
      <c r="AA651" s="2">
        <f t="shared" si="367"/>
        <v>0</v>
      </c>
      <c r="AB651" s="2">
        <f t="shared" si="367"/>
        <v>9358.76</v>
      </c>
      <c r="AC651" s="2">
        <f t="shared" si="367"/>
        <v>34.08</v>
      </c>
      <c r="AD651" s="2">
        <f t="shared" si="367"/>
        <v>0</v>
      </c>
      <c r="AE651" s="2">
        <f t="shared" si="367"/>
        <v>0</v>
      </c>
      <c r="AF651" s="2">
        <f t="shared" si="367"/>
        <v>9324.68</v>
      </c>
      <c r="AG651" s="2">
        <f t="shared" si="367"/>
        <v>0</v>
      </c>
      <c r="AH651" s="2">
        <f t="shared" si="367"/>
        <v>17.054279999999999</v>
      </c>
      <c r="AI651" s="2">
        <f t="shared" si="367"/>
        <v>0</v>
      </c>
      <c r="AJ651" s="2">
        <f t="shared" si="367"/>
        <v>0</v>
      </c>
      <c r="AK651" s="2">
        <f t="shared" si="367"/>
        <v>6527.28</v>
      </c>
      <c r="AL651" s="2">
        <f t="shared" si="367"/>
        <v>932.47</v>
      </c>
      <c r="AM651" s="2">
        <f t="shared" si="367"/>
        <v>0</v>
      </c>
      <c r="AN651" s="2">
        <f t="shared" si="367"/>
        <v>0</v>
      </c>
      <c r="AO651" s="2">
        <f t="shared" si="367"/>
        <v>0</v>
      </c>
      <c r="AP651" s="2">
        <f t="shared" si="367"/>
        <v>0</v>
      </c>
      <c r="AQ651" s="2">
        <f t="shared" si="367"/>
        <v>0</v>
      </c>
      <c r="AR651" s="2">
        <f t="shared" si="367"/>
        <v>16818.509999999998</v>
      </c>
      <c r="AS651" s="2">
        <f t="shared" si="367"/>
        <v>0</v>
      </c>
      <c r="AT651" s="2">
        <f t="shared" si="367"/>
        <v>0</v>
      </c>
      <c r="AU651" s="2">
        <f t="shared" ref="AU651:BZ651" si="368">AU673</f>
        <v>16818.509999999998</v>
      </c>
      <c r="AV651" s="2">
        <f t="shared" si="368"/>
        <v>34.08</v>
      </c>
      <c r="AW651" s="2">
        <f t="shared" si="368"/>
        <v>34.08</v>
      </c>
      <c r="AX651" s="2">
        <f t="shared" si="368"/>
        <v>0</v>
      </c>
      <c r="AY651" s="2">
        <f t="shared" si="368"/>
        <v>34.08</v>
      </c>
      <c r="AZ651" s="2">
        <f t="shared" si="368"/>
        <v>0</v>
      </c>
      <c r="BA651" s="2">
        <f t="shared" si="368"/>
        <v>0</v>
      </c>
      <c r="BB651" s="2">
        <f t="shared" si="368"/>
        <v>0</v>
      </c>
      <c r="BC651" s="2">
        <f t="shared" si="368"/>
        <v>0</v>
      </c>
      <c r="BD651" s="2">
        <f t="shared" si="368"/>
        <v>0</v>
      </c>
      <c r="BE651" s="2">
        <f t="shared" si="368"/>
        <v>0</v>
      </c>
      <c r="BF651" s="2">
        <f t="shared" si="368"/>
        <v>0</v>
      </c>
      <c r="BG651" s="2">
        <f t="shared" si="368"/>
        <v>0</v>
      </c>
      <c r="BH651" s="2">
        <f t="shared" si="368"/>
        <v>0</v>
      </c>
      <c r="BI651" s="2">
        <f t="shared" si="368"/>
        <v>0</v>
      </c>
      <c r="BJ651" s="2">
        <f t="shared" si="368"/>
        <v>0</v>
      </c>
      <c r="BK651" s="2">
        <f t="shared" si="368"/>
        <v>0</v>
      </c>
      <c r="BL651" s="2">
        <f t="shared" si="368"/>
        <v>0</v>
      </c>
      <c r="BM651" s="2">
        <f t="shared" si="368"/>
        <v>0</v>
      </c>
      <c r="BN651" s="2">
        <f t="shared" si="368"/>
        <v>0</v>
      </c>
      <c r="BO651" s="2">
        <f t="shared" si="368"/>
        <v>0</v>
      </c>
      <c r="BP651" s="2">
        <f t="shared" si="368"/>
        <v>0</v>
      </c>
      <c r="BQ651" s="2">
        <f t="shared" si="368"/>
        <v>0</v>
      </c>
      <c r="BR651" s="2">
        <f t="shared" si="368"/>
        <v>0</v>
      </c>
      <c r="BS651" s="2">
        <f t="shared" si="368"/>
        <v>0</v>
      </c>
      <c r="BT651" s="2">
        <f t="shared" si="368"/>
        <v>0</v>
      </c>
      <c r="BU651" s="2">
        <f t="shared" si="368"/>
        <v>0</v>
      </c>
      <c r="BV651" s="2">
        <f t="shared" si="368"/>
        <v>0</v>
      </c>
      <c r="BW651" s="2">
        <f t="shared" si="368"/>
        <v>0</v>
      </c>
      <c r="BX651" s="2">
        <f t="shared" si="368"/>
        <v>0</v>
      </c>
      <c r="BY651" s="2">
        <f t="shared" si="368"/>
        <v>0</v>
      </c>
      <c r="BZ651" s="2">
        <f t="shared" si="368"/>
        <v>0</v>
      </c>
      <c r="CA651" s="2">
        <f t="shared" ref="CA651:DF651" si="369">CA673</f>
        <v>16818.509999999998</v>
      </c>
      <c r="CB651" s="2">
        <f t="shared" si="369"/>
        <v>0</v>
      </c>
      <c r="CC651" s="2">
        <f t="shared" si="369"/>
        <v>0</v>
      </c>
      <c r="CD651" s="2">
        <f t="shared" si="369"/>
        <v>16818.509999999998</v>
      </c>
      <c r="CE651" s="2">
        <f t="shared" si="369"/>
        <v>34.08</v>
      </c>
      <c r="CF651" s="2">
        <f t="shared" si="369"/>
        <v>34.08</v>
      </c>
      <c r="CG651" s="2">
        <f t="shared" si="369"/>
        <v>0</v>
      </c>
      <c r="CH651" s="2">
        <f t="shared" si="369"/>
        <v>34.08</v>
      </c>
      <c r="CI651" s="2">
        <f t="shared" si="369"/>
        <v>0</v>
      </c>
      <c r="CJ651" s="2">
        <f t="shared" si="369"/>
        <v>0</v>
      </c>
      <c r="CK651" s="2">
        <f t="shared" si="369"/>
        <v>0</v>
      </c>
      <c r="CL651" s="2">
        <f t="shared" si="369"/>
        <v>0</v>
      </c>
      <c r="CM651" s="2">
        <f t="shared" si="369"/>
        <v>0</v>
      </c>
      <c r="CN651" s="2">
        <f t="shared" si="369"/>
        <v>0</v>
      </c>
      <c r="CO651" s="2">
        <f t="shared" si="369"/>
        <v>0</v>
      </c>
      <c r="CP651" s="2">
        <f t="shared" si="369"/>
        <v>0</v>
      </c>
      <c r="CQ651" s="2">
        <f t="shared" si="369"/>
        <v>0</v>
      </c>
      <c r="CR651" s="2">
        <f t="shared" si="369"/>
        <v>0</v>
      </c>
      <c r="CS651" s="2">
        <f t="shared" si="369"/>
        <v>0</v>
      </c>
      <c r="CT651" s="2">
        <f t="shared" si="369"/>
        <v>0</v>
      </c>
      <c r="CU651" s="2">
        <f t="shared" si="369"/>
        <v>0</v>
      </c>
      <c r="CV651" s="2">
        <f t="shared" si="369"/>
        <v>0</v>
      </c>
      <c r="CW651" s="2">
        <f t="shared" si="369"/>
        <v>0</v>
      </c>
      <c r="CX651" s="2">
        <f t="shared" si="369"/>
        <v>0</v>
      </c>
      <c r="CY651" s="2">
        <f t="shared" si="369"/>
        <v>0</v>
      </c>
      <c r="CZ651" s="2">
        <f t="shared" si="369"/>
        <v>0</v>
      </c>
      <c r="DA651" s="2">
        <f t="shared" si="369"/>
        <v>0</v>
      </c>
      <c r="DB651" s="2">
        <f t="shared" si="369"/>
        <v>0</v>
      </c>
      <c r="DC651" s="2">
        <f t="shared" si="369"/>
        <v>0</v>
      </c>
      <c r="DD651" s="2">
        <f t="shared" si="369"/>
        <v>0</v>
      </c>
      <c r="DE651" s="2">
        <f t="shared" si="369"/>
        <v>0</v>
      </c>
      <c r="DF651" s="2">
        <f t="shared" si="369"/>
        <v>0</v>
      </c>
      <c r="DG651" s="3">
        <f t="shared" ref="DG651:EL651" si="370">DG673</f>
        <v>0</v>
      </c>
      <c r="DH651" s="3">
        <f t="shared" si="370"/>
        <v>0</v>
      </c>
      <c r="DI651" s="3">
        <f t="shared" si="370"/>
        <v>0</v>
      </c>
      <c r="DJ651" s="3">
        <f t="shared" si="370"/>
        <v>0</v>
      </c>
      <c r="DK651" s="3">
        <f t="shared" si="370"/>
        <v>0</v>
      </c>
      <c r="DL651" s="3">
        <f t="shared" si="370"/>
        <v>0</v>
      </c>
      <c r="DM651" s="3">
        <f t="shared" si="370"/>
        <v>0</v>
      </c>
      <c r="DN651" s="3">
        <f t="shared" si="370"/>
        <v>0</v>
      </c>
      <c r="DO651" s="3">
        <f t="shared" si="370"/>
        <v>0</v>
      </c>
      <c r="DP651" s="3">
        <f t="shared" si="370"/>
        <v>0</v>
      </c>
      <c r="DQ651" s="3">
        <f t="shared" si="370"/>
        <v>0</v>
      </c>
      <c r="DR651" s="3">
        <f t="shared" si="370"/>
        <v>0</v>
      </c>
      <c r="DS651" s="3">
        <f t="shared" si="370"/>
        <v>0</v>
      </c>
      <c r="DT651" s="3">
        <f t="shared" si="370"/>
        <v>0</v>
      </c>
      <c r="DU651" s="3">
        <f t="shared" si="370"/>
        <v>0</v>
      </c>
      <c r="DV651" s="3">
        <f t="shared" si="370"/>
        <v>0</v>
      </c>
      <c r="DW651" s="3">
        <f t="shared" si="370"/>
        <v>0</v>
      </c>
      <c r="DX651" s="3">
        <f t="shared" si="370"/>
        <v>0</v>
      </c>
      <c r="DY651" s="3">
        <f t="shared" si="370"/>
        <v>0</v>
      </c>
      <c r="DZ651" s="3">
        <f t="shared" si="370"/>
        <v>0</v>
      </c>
      <c r="EA651" s="3">
        <f t="shared" si="370"/>
        <v>0</v>
      </c>
      <c r="EB651" s="3">
        <f t="shared" si="370"/>
        <v>0</v>
      </c>
      <c r="EC651" s="3">
        <f t="shared" si="370"/>
        <v>0</v>
      </c>
      <c r="ED651" s="3">
        <f t="shared" si="370"/>
        <v>0</v>
      </c>
      <c r="EE651" s="3">
        <f t="shared" si="370"/>
        <v>0</v>
      </c>
      <c r="EF651" s="3">
        <f t="shared" si="370"/>
        <v>0</v>
      </c>
      <c r="EG651" s="3">
        <f t="shared" si="370"/>
        <v>0</v>
      </c>
      <c r="EH651" s="3">
        <f t="shared" si="370"/>
        <v>0</v>
      </c>
      <c r="EI651" s="3">
        <f t="shared" si="370"/>
        <v>0</v>
      </c>
      <c r="EJ651" s="3">
        <f t="shared" si="370"/>
        <v>0</v>
      </c>
      <c r="EK651" s="3">
        <f t="shared" si="370"/>
        <v>0</v>
      </c>
      <c r="EL651" s="3">
        <f t="shared" si="370"/>
        <v>0</v>
      </c>
      <c r="EM651" s="3">
        <f t="shared" ref="EM651:FR651" si="371">EM673</f>
        <v>0</v>
      </c>
      <c r="EN651" s="3">
        <f t="shared" si="371"/>
        <v>0</v>
      </c>
      <c r="EO651" s="3">
        <f t="shared" si="371"/>
        <v>0</v>
      </c>
      <c r="EP651" s="3">
        <f t="shared" si="371"/>
        <v>0</v>
      </c>
      <c r="EQ651" s="3">
        <f t="shared" si="371"/>
        <v>0</v>
      </c>
      <c r="ER651" s="3">
        <f t="shared" si="371"/>
        <v>0</v>
      </c>
      <c r="ES651" s="3">
        <f t="shared" si="371"/>
        <v>0</v>
      </c>
      <c r="ET651" s="3">
        <f t="shared" si="371"/>
        <v>0</v>
      </c>
      <c r="EU651" s="3">
        <f t="shared" si="371"/>
        <v>0</v>
      </c>
      <c r="EV651" s="3">
        <f t="shared" si="371"/>
        <v>0</v>
      </c>
      <c r="EW651" s="3">
        <f t="shared" si="371"/>
        <v>0</v>
      </c>
      <c r="EX651" s="3">
        <f t="shared" si="371"/>
        <v>0</v>
      </c>
      <c r="EY651" s="3">
        <f t="shared" si="371"/>
        <v>0</v>
      </c>
      <c r="EZ651" s="3">
        <f t="shared" si="371"/>
        <v>0</v>
      </c>
      <c r="FA651" s="3">
        <f t="shared" si="371"/>
        <v>0</v>
      </c>
      <c r="FB651" s="3">
        <f t="shared" si="371"/>
        <v>0</v>
      </c>
      <c r="FC651" s="3">
        <f t="shared" si="371"/>
        <v>0</v>
      </c>
      <c r="FD651" s="3">
        <f t="shared" si="371"/>
        <v>0</v>
      </c>
      <c r="FE651" s="3">
        <f t="shared" si="371"/>
        <v>0</v>
      </c>
      <c r="FF651" s="3">
        <f t="shared" si="371"/>
        <v>0</v>
      </c>
      <c r="FG651" s="3">
        <f t="shared" si="371"/>
        <v>0</v>
      </c>
      <c r="FH651" s="3">
        <f t="shared" si="371"/>
        <v>0</v>
      </c>
      <c r="FI651" s="3">
        <f t="shared" si="371"/>
        <v>0</v>
      </c>
      <c r="FJ651" s="3">
        <f t="shared" si="371"/>
        <v>0</v>
      </c>
      <c r="FK651" s="3">
        <f t="shared" si="371"/>
        <v>0</v>
      </c>
      <c r="FL651" s="3">
        <f t="shared" si="371"/>
        <v>0</v>
      </c>
      <c r="FM651" s="3">
        <f t="shared" si="371"/>
        <v>0</v>
      </c>
      <c r="FN651" s="3">
        <f t="shared" si="371"/>
        <v>0</v>
      </c>
      <c r="FO651" s="3">
        <f t="shared" si="371"/>
        <v>0</v>
      </c>
      <c r="FP651" s="3">
        <f t="shared" si="371"/>
        <v>0</v>
      </c>
      <c r="FQ651" s="3">
        <f t="shared" si="371"/>
        <v>0</v>
      </c>
      <c r="FR651" s="3">
        <f t="shared" si="371"/>
        <v>0</v>
      </c>
      <c r="FS651" s="3">
        <f t="shared" ref="FS651:GX651" si="372">FS673</f>
        <v>0</v>
      </c>
      <c r="FT651" s="3">
        <f t="shared" si="372"/>
        <v>0</v>
      </c>
      <c r="FU651" s="3">
        <f t="shared" si="372"/>
        <v>0</v>
      </c>
      <c r="FV651" s="3">
        <f t="shared" si="372"/>
        <v>0</v>
      </c>
      <c r="FW651" s="3">
        <f t="shared" si="372"/>
        <v>0</v>
      </c>
      <c r="FX651" s="3">
        <f t="shared" si="372"/>
        <v>0</v>
      </c>
      <c r="FY651" s="3">
        <f t="shared" si="372"/>
        <v>0</v>
      </c>
      <c r="FZ651" s="3">
        <f t="shared" si="372"/>
        <v>0</v>
      </c>
      <c r="GA651" s="3">
        <f t="shared" si="372"/>
        <v>0</v>
      </c>
      <c r="GB651" s="3">
        <f t="shared" si="372"/>
        <v>0</v>
      </c>
      <c r="GC651" s="3">
        <f t="shared" si="372"/>
        <v>0</v>
      </c>
      <c r="GD651" s="3">
        <f t="shared" si="372"/>
        <v>0</v>
      </c>
      <c r="GE651" s="3">
        <f t="shared" si="372"/>
        <v>0</v>
      </c>
      <c r="GF651" s="3">
        <f t="shared" si="372"/>
        <v>0</v>
      </c>
      <c r="GG651" s="3">
        <f t="shared" si="372"/>
        <v>0</v>
      </c>
      <c r="GH651" s="3">
        <f t="shared" si="372"/>
        <v>0</v>
      </c>
      <c r="GI651" s="3">
        <f t="shared" si="372"/>
        <v>0</v>
      </c>
      <c r="GJ651" s="3">
        <f t="shared" si="372"/>
        <v>0</v>
      </c>
      <c r="GK651" s="3">
        <f t="shared" si="372"/>
        <v>0</v>
      </c>
      <c r="GL651" s="3">
        <f t="shared" si="372"/>
        <v>0</v>
      </c>
      <c r="GM651" s="3">
        <f t="shared" si="372"/>
        <v>0</v>
      </c>
      <c r="GN651" s="3">
        <f t="shared" si="372"/>
        <v>0</v>
      </c>
      <c r="GO651" s="3">
        <f t="shared" si="372"/>
        <v>0</v>
      </c>
      <c r="GP651" s="3">
        <f t="shared" si="372"/>
        <v>0</v>
      </c>
      <c r="GQ651" s="3">
        <f t="shared" si="372"/>
        <v>0</v>
      </c>
      <c r="GR651" s="3">
        <f t="shared" si="372"/>
        <v>0</v>
      </c>
      <c r="GS651" s="3">
        <f t="shared" si="372"/>
        <v>0</v>
      </c>
      <c r="GT651" s="3">
        <f t="shared" si="372"/>
        <v>0</v>
      </c>
      <c r="GU651" s="3">
        <f t="shared" si="372"/>
        <v>0</v>
      </c>
      <c r="GV651" s="3">
        <f t="shared" si="372"/>
        <v>0</v>
      </c>
      <c r="GW651" s="3">
        <f t="shared" si="372"/>
        <v>0</v>
      </c>
      <c r="GX651" s="3">
        <f t="shared" si="372"/>
        <v>0</v>
      </c>
    </row>
    <row r="653" spans="1:245" x14ac:dyDescent="0.2">
      <c r="A653">
        <v>17</v>
      </c>
      <c r="B653">
        <v>1</v>
      </c>
      <c r="D653">
        <f>ROW(EtalonRes!A237)</f>
        <v>237</v>
      </c>
      <c r="E653" t="s">
        <v>326</v>
      </c>
      <c r="F653" t="s">
        <v>327</v>
      </c>
      <c r="G653" t="s">
        <v>328</v>
      </c>
      <c r="H653" t="s">
        <v>26</v>
      </c>
      <c r="I653">
        <f>ROUND(ROUND((1500)*0.2*0.1/100,9),9)</f>
        <v>0.3</v>
      </c>
      <c r="J653">
        <v>0</v>
      </c>
      <c r="K653">
        <f>ROUND(ROUND((1500)*0.2*0.1/100,9),9)</f>
        <v>0.3</v>
      </c>
      <c r="O653">
        <f t="shared" ref="O653:O671" si="373">ROUND(CP653,2)</f>
        <v>1153.4000000000001</v>
      </c>
      <c r="P653">
        <f t="shared" ref="P653:P671" si="374">ROUND(CQ653*I653,2)</f>
        <v>6.75</v>
      </c>
      <c r="Q653">
        <f t="shared" ref="Q653:Q671" si="375">ROUND(CR653*I653,2)</f>
        <v>0</v>
      </c>
      <c r="R653">
        <f t="shared" ref="R653:R671" si="376">ROUND(CS653*I653,2)</f>
        <v>0</v>
      </c>
      <c r="S653">
        <f t="shared" ref="S653:S671" si="377">ROUND(CT653*I653,2)</f>
        <v>1146.6500000000001</v>
      </c>
      <c r="T653">
        <f t="shared" ref="T653:T671" si="378">ROUND(CU653*I653,2)</f>
        <v>0</v>
      </c>
      <c r="U653">
        <f t="shared" ref="U653:U671" si="379">CV653*I653</f>
        <v>2.1419999999999999</v>
      </c>
      <c r="V653">
        <f t="shared" ref="V653:V671" si="380">CW653*I653</f>
        <v>0</v>
      </c>
      <c r="W653">
        <f t="shared" ref="W653:W671" si="381">ROUND(CX653*I653,2)</f>
        <v>0</v>
      </c>
      <c r="X653">
        <f t="shared" ref="X653:X671" si="382">ROUND(CY653,2)</f>
        <v>802.66</v>
      </c>
      <c r="Y653">
        <f t="shared" ref="Y653:Y671" si="383">ROUND(CZ653,2)</f>
        <v>114.67</v>
      </c>
      <c r="AA653">
        <v>1473080740</v>
      </c>
      <c r="AB653">
        <f t="shared" ref="AB653:AB671" si="384">ROUND((AC653+AD653+AF653),6)</f>
        <v>3844.66</v>
      </c>
      <c r="AC653">
        <f t="shared" ref="AC653:AC671" si="385">ROUND((ES653),6)</f>
        <v>22.51</v>
      </c>
      <c r="AD653">
        <f t="shared" ref="AD653:AD671" si="386">ROUND((((ET653)-(EU653))+AE653),6)</f>
        <v>0</v>
      </c>
      <c r="AE653">
        <f t="shared" ref="AE653:AE671" si="387">ROUND((EU653),6)</f>
        <v>0</v>
      </c>
      <c r="AF653">
        <f t="shared" ref="AF653:AF671" si="388">ROUND((EV653),6)</f>
        <v>3822.15</v>
      </c>
      <c r="AG653">
        <f t="shared" ref="AG653:AG671" si="389">ROUND((AP653),6)</f>
        <v>0</v>
      </c>
      <c r="AH653">
        <f t="shared" ref="AH653:AH671" si="390">(EW653)</f>
        <v>7.14</v>
      </c>
      <c r="AI653">
        <f t="shared" ref="AI653:AI671" si="391">(EX653)</f>
        <v>0</v>
      </c>
      <c r="AJ653">
        <f t="shared" ref="AJ653:AJ671" si="392">(AS653)</f>
        <v>0</v>
      </c>
      <c r="AK653">
        <v>3844.66</v>
      </c>
      <c r="AL653">
        <v>22.51</v>
      </c>
      <c r="AM653">
        <v>0</v>
      </c>
      <c r="AN653">
        <v>0</v>
      </c>
      <c r="AO653">
        <v>3822.15</v>
      </c>
      <c r="AP653">
        <v>0</v>
      </c>
      <c r="AQ653">
        <v>7.14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329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ref="CP653:CP671" si="393">(P653+Q653+S653)</f>
        <v>1153.4000000000001</v>
      </c>
      <c r="CQ653">
        <f t="shared" ref="CQ653:CQ671" si="394">(AC653*BC653*AW653)</f>
        <v>22.51</v>
      </c>
      <c r="CR653">
        <f t="shared" ref="CR653:CR671" si="395">((((ET653)*BB653-(EU653)*BS653)+AE653*BS653)*AV653)</f>
        <v>0</v>
      </c>
      <c r="CS653">
        <f t="shared" ref="CS653:CS671" si="396">(AE653*BS653*AV653)</f>
        <v>0</v>
      </c>
      <c r="CT653">
        <f t="shared" ref="CT653:CT671" si="397">(AF653*BA653*AV653)</f>
        <v>3822.15</v>
      </c>
      <c r="CU653">
        <f t="shared" ref="CU653:CU671" si="398">AG653</f>
        <v>0</v>
      </c>
      <c r="CV653">
        <f t="shared" ref="CV653:CV671" si="399">(AH653*AV653)</f>
        <v>7.14</v>
      </c>
      <c r="CW653">
        <f t="shared" ref="CW653:CW671" si="400">AI653</f>
        <v>0</v>
      </c>
      <c r="CX653">
        <f t="shared" ref="CX653:CX671" si="401">AJ653</f>
        <v>0</v>
      </c>
      <c r="CY653">
        <f t="shared" ref="CY653:CY671" si="402">((S653*BZ653)/100)</f>
        <v>802.65499999999997</v>
      </c>
      <c r="CZ653">
        <f t="shared" ref="CZ653:CZ671" si="403">((S653*CA653)/100)</f>
        <v>114.66500000000001</v>
      </c>
      <c r="DC653" t="s">
        <v>3</v>
      </c>
      <c r="DD653" t="s">
        <v>3</v>
      </c>
      <c r="DE653" t="s">
        <v>3</v>
      </c>
      <c r="DF653" t="s">
        <v>3</v>
      </c>
      <c r="DG653" t="s">
        <v>3</v>
      </c>
      <c r="DH653" t="s">
        <v>3</v>
      </c>
      <c r="DI653" t="s">
        <v>3</v>
      </c>
      <c r="DJ653" t="s">
        <v>3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1003</v>
      </c>
      <c r="DV653" t="s">
        <v>26</v>
      </c>
      <c r="DW653" t="s">
        <v>26</v>
      </c>
      <c r="DX653">
        <v>100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21</v>
      </c>
      <c r="EH653">
        <v>0</v>
      </c>
      <c r="EI653" t="s">
        <v>3</v>
      </c>
      <c r="EJ653">
        <v>4</v>
      </c>
      <c r="EK653">
        <v>0</v>
      </c>
      <c r="EL653" t="s">
        <v>22</v>
      </c>
      <c r="EM653" t="s">
        <v>23</v>
      </c>
      <c r="EO653" t="s">
        <v>3</v>
      </c>
      <c r="EQ653">
        <v>0</v>
      </c>
      <c r="ER653">
        <v>3844.66</v>
      </c>
      <c r="ES653">
        <v>22.51</v>
      </c>
      <c r="ET653">
        <v>0</v>
      </c>
      <c r="EU653">
        <v>0</v>
      </c>
      <c r="EV653">
        <v>3822.15</v>
      </c>
      <c r="EW653">
        <v>7.14</v>
      </c>
      <c r="EX653">
        <v>0</v>
      </c>
      <c r="EY653">
        <v>0</v>
      </c>
      <c r="FQ653">
        <v>0</v>
      </c>
      <c r="FR653">
        <f t="shared" ref="FR653:FR671" si="404">ROUND(IF(BI653=3,GM653,0),2)</f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-179951930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ref="GL653:GL671" si="405">ROUND(IF(AND(BH653=3,BI653=3,FS653&lt;&gt;0),P653,0),2)</f>
        <v>0</v>
      </c>
      <c r="GM653">
        <f t="shared" ref="GM653:GM671" si="406">ROUND(O653+X653+Y653+GK653,2)+GX653</f>
        <v>2070.73</v>
      </c>
      <c r="GN653">
        <f t="shared" ref="GN653:GN671" si="407">IF(OR(BI653=0,BI653=1),GM653-GX653,0)</f>
        <v>0</v>
      </c>
      <c r="GO653">
        <f t="shared" ref="GO653:GO671" si="408">IF(BI653=2,GM653-GX653,0)</f>
        <v>0</v>
      </c>
      <c r="GP653">
        <f t="shared" ref="GP653:GP671" si="409">IF(BI653=4,GM653-GX653,0)</f>
        <v>2070.73</v>
      </c>
      <c r="GR653">
        <v>0</v>
      </c>
      <c r="GS653">
        <v>3</v>
      </c>
      <c r="GT653">
        <v>0</v>
      </c>
      <c r="GU653" t="s">
        <v>3</v>
      </c>
      <c r="GV653">
        <f t="shared" ref="GV653:GV671" si="410">ROUND((GT653),6)</f>
        <v>0</v>
      </c>
      <c r="GW653">
        <v>1</v>
      </c>
      <c r="GX653">
        <f t="shared" ref="GX653:GX671" si="411">ROUND(HC653*I653,2)</f>
        <v>0</v>
      </c>
      <c r="HA653">
        <v>0</v>
      </c>
      <c r="HB653">
        <v>0</v>
      </c>
      <c r="HC653">
        <f t="shared" ref="HC653:HC671" si="412">GV653*GW653</f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ROW(EtalonRes!A238)</f>
        <v>238</v>
      </c>
      <c r="E654" t="s">
        <v>3</v>
      </c>
      <c r="F654" t="s">
        <v>330</v>
      </c>
      <c r="G654" t="s">
        <v>331</v>
      </c>
      <c r="H654" t="s">
        <v>26</v>
      </c>
      <c r="I654">
        <f>ROUND(ROUND((1500)*0.1/100,9),9)</f>
        <v>1.5</v>
      </c>
      <c r="J654">
        <v>0</v>
      </c>
      <c r="K654">
        <f>ROUND(ROUND((1500)*0.1/100,9),9)</f>
        <v>1.5</v>
      </c>
      <c r="O654">
        <f t="shared" si="373"/>
        <v>192.72</v>
      </c>
      <c r="P654">
        <f t="shared" si="374"/>
        <v>0</v>
      </c>
      <c r="Q654">
        <f t="shared" si="375"/>
        <v>0</v>
      </c>
      <c r="R654">
        <f t="shared" si="376"/>
        <v>0</v>
      </c>
      <c r="S654">
        <f t="shared" si="377"/>
        <v>192.72</v>
      </c>
      <c r="T654">
        <f t="shared" si="378"/>
        <v>0</v>
      </c>
      <c r="U654">
        <f t="shared" si="379"/>
        <v>0.36</v>
      </c>
      <c r="V654">
        <f t="shared" si="380"/>
        <v>0</v>
      </c>
      <c r="W654">
        <f t="shared" si="381"/>
        <v>0</v>
      </c>
      <c r="X654">
        <f t="shared" si="382"/>
        <v>134.9</v>
      </c>
      <c r="Y654">
        <f t="shared" si="383"/>
        <v>19.27</v>
      </c>
      <c r="AA654">
        <v>-1</v>
      </c>
      <c r="AB654">
        <f t="shared" si="384"/>
        <v>128.47999999999999</v>
      </c>
      <c r="AC654">
        <f t="shared" si="385"/>
        <v>0</v>
      </c>
      <c r="AD654">
        <f t="shared" si="386"/>
        <v>0</v>
      </c>
      <c r="AE654">
        <f t="shared" si="387"/>
        <v>0</v>
      </c>
      <c r="AF654">
        <f t="shared" si="388"/>
        <v>128.47999999999999</v>
      </c>
      <c r="AG654">
        <f t="shared" si="389"/>
        <v>0</v>
      </c>
      <c r="AH654">
        <f t="shared" si="390"/>
        <v>0.24</v>
      </c>
      <c r="AI654">
        <f t="shared" si="391"/>
        <v>0</v>
      </c>
      <c r="AJ654">
        <f t="shared" si="392"/>
        <v>0</v>
      </c>
      <c r="AK654">
        <v>128.47999999999999</v>
      </c>
      <c r="AL654">
        <v>0</v>
      </c>
      <c r="AM654">
        <v>0</v>
      </c>
      <c r="AN654">
        <v>0</v>
      </c>
      <c r="AO654">
        <v>128.47999999999999</v>
      </c>
      <c r="AP654">
        <v>0</v>
      </c>
      <c r="AQ654">
        <v>0.24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332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393"/>
        <v>192.72</v>
      </c>
      <c r="CQ654">
        <f t="shared" si="394"/>
        <v>0</v>
      </c>
      <c r="CR654">
        <f t="shared" si="395"/>
        <v>0</v>
      </c>
      <c r="CS654">
        <f t="shared" si="396"/>
        <v>0</v>
      </c>
      <c r="CT654">
        <f t="shared" si="397"/>
        <v>128.47999999999999</v>
      </c>
      <c r="CU654">
        <f t="shared" si="398"/>
        <v>0</v>
      </c>
      <c r="CV654">
        <f t="shared" si="399"/>
        <v>0.24</v>
      </c>
      <c r="CW654">
        <f t="shared" si="400"/>
        <v>0</v>
      </c>
      <c r="CX654">
        <f t="shared" si="401"/>
        <v>0</v>
      </c>
      <c r="CY654">
        <f t="shared" si="402"/>
        <v>134.904</v>
      </c>
      <c r="CZ654">
        <f t="shared" si="403"/>
        <v>19.272000000000002</v>
      </c>
      <c r="DC654" t="s">
        <v>3</v>
      </c>
      <c r="DD654" t="s">
        <v>3</v>
      </c>
      <c r="DE654" t="s">
        <v>3</v>
      </c>
      <c r="DF654" t="s">
        <v>3</v>
      </c>
      <c r="DG654" t="s">
        <v>3</v>
      </c>
      <c r="DH654" t="s">
        <v>3</v>
      </c>
      <c r="DI654" t="s">
        <v>3</v>
      </c>
      <c r="DJ654" t="s">
        <v>3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1003</v>
      </c>
      <c r="DV654" t="s">
        <v>26</v>
      </c>
      <c r="DW654" t="s">
        <v>26</v>
      </c>
      <c r="DX654">
        <v>100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21</v>
      </c>
      <c r="EH654">
        <v>0</v>
      </c>
      <c r="EI654" t="s">
        <v>3</v>
      </c>
      <c r="EJ654">
        <v>4</v>
      </c>
      <c r="EK654">
        <v>0</v>
      </c>
      <c r="EL654" t="s">
        <v>22</v>
      </c>
      <c r="EM654" t="s">
        <v>23</v>
      </c>
      <c r="EO654" t="s">
        <v>3</v>
      </c>
      <c r="EQ654">
        <v>1024</v>
      </c>
      <c r="ER654">
        <v>128.47999999999999</v>
      </c>
      <c r="ES654">
        <v>0</v>
      </c>
      <c r="ET654">
        <v>0</v>
      </c>
      <c r="EU654">
        <v>0</v>
      </c>
      <c r="EV654">
        <v>128.47999999999999</v>
      </c>
      <c r="EW654">
        <v>0.24</v>
      </c>
      <c r="EX654">
        <v>0</v>
      </c>
      <c r="EY654">
        <v>0</v>
      </c>
      <c r="FQ654">
        <v>0</v>
      </c>
      <c r="FR654">
        <f t="shared" si="404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1324412235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405"/>
        <v>0</v>
      </c>
      <c r="GM654">
        <f t="shared" si="406"/>
        <v>346.89</v>
      </c>
      <c r="GN654">
        <f t="shared" si="407"/>
        <v>0</v>
      </c>
      <c r="GO654">
        <f t="shared" si="408"/>
        <v>0</v>
      </c>
      <c r="GP654">
        <f t="shared" si="409"/>
        <v>346.89</v>
      </c>
      <c r="GR654">
        <v>0</v>
      </c>
      <c r="GS654">
        <v>3</v>
      </c>
      <c r="GT654">
        <v>0</v>
      </c>
      <c r="GU654" t="s">
        <v>3</v>
      </c>
      <c r="GV654">
        <f t="shared" si="410"/>
        <v>0</v>
      </c>
      <c r="GW654">
        <v>1</v>
      </c>
      <c r="GX654">
        <f t="shared" si="411"/>
        <v>0</v>
      </c>
      <c r="HA654">
        <v>0</v>
      </c>
      <c r="HB654">
        <v>0</v>
      </c>
      <c r="HC654">
        <f t="shared" si="412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ROW(EtalonRes!A240)</f>
        <v>240</v>
      </c>
      <c r="E655" t="s">
        <v>333</v>
      </c>
      <c r="F655" t="s">
        <v>334</v>
      </c>
      <c r="G655" t="s">
        <v>335</v>
      </c>
      <c r="H655" t="s">
        <v>26</v>
      </c>
      <c r="I655">
        <f>ROUND((2920+10+1300+340)*0.2*0.1/100,9)</f>
        <v>0.91400000000000003</v>
      </c>
      <c r="J655">
        <v>0</v>
      </c>
      <c r="K655">
        <f>ROUND((2920+10+1300+340)*0.2*0.1/100,9)</f>
        <v>0.91400000000000003</v>
      </c>
      <c r="O655">
        <f t="shared" si="373"/>
        <v>4913.3500000000004</v>
      </c>
      <c r="P655">
        <f t="shared" si="374"/>
        <v>20.57</v>
      </c>
      <c r="Q655">
        <f t="shared" si="375"/>
        <v>0</v>
      </c>
      <c r="R655">
        <f t="shared" si="376"/>
        <v>0</v>
      </c>
      <c r="S655">
        <f t="shared" si="377"/>
        <v>4892.78</v>
      </c>
      <c r="T655">
        <f t="shared" si="378"/>
        <v>0</v>
      </c>
      <c r="U655">
        <f t="shared" si="379"/>
        <v>9.14</v>
      </c>
      <c r="V655">
        <f t="shared" si="380"/>
        <v>0</v>
      </c>
      <c r="W655">
        <f t="shared" si="381"/>
        <v>0</v>
      </c>
      <c r="X655">
        <f t="shared" si="382"/>
        <v>3424.95</v>
      </c>
      <c r="Y655">
        <f t="shared" si="383"/>
        <v>489.28</v>
      </c>
      <c r="AA655">
        <v>1473080740</v>
      </c>
      <c r="AB655">
        <f t="shared" si="384"/>
        <v>5375.66</v>
      </c>
      <c r="AC655">
        <f t="shared" si="385"/>
        <v>22.51</v>
      </c>
      <c r="AD655">
        <f t="shared" si="386"/>
        <v>0</v>
      </c>
      <c r="AE655">
        <f t="shared" si="387"/>
        <v>0</v>
      </c>
      <c r="AF655">
        <f t="shared" si="388"/>
        <v>5353.15</v>
      </c>
      <c r="AG655">
        <f t="shared" si="389"/>
        <v>0</v>
      </c>
      <c r="AH655">
        <f t="shared" si="390"/>
        <v>10</v>
      </c>
      <c r="AI655">
        <f t="shared" si="391"/>
        <v>0</v>
      </c>
      <c r="AJ655">
        <f t="shared" si="392"/>
        <v>0</v>
      </c>
      <c r="AK655">
        <v>5375.66</v>
      </c>
      <c r="AL655">
        <v>22.51</v>
      </c>
      <c r="AM655">
        <v>0</v>
      </c>
      <c r="AN655">
        <v>0</v>
      </c>
      <c r="AO655">
        <v>5353.15</v>
      </c>
      <c r="AP655">
        <v>0</v>
      </c>
      <c r="AQ655">
        <v>10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336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393"/>
        <v>4913.3499999999995</v>
      </c>
      <c r="CQ655">
        <f t="shared" si="394"/>
        <v>22.51</v>
      </c>
      <c r="CR655">
        <f t="shared" si="395"/>
        <v>0</v>
      </c>
      <c r="CS655">
        <f t="shared" si="396"/>
        <v>0</v>
      </c>
      <c r="CT655">
        <f t="shared" si="397"/>
        <v>5353.15</v>
      </c>
      <c r="CU655">
        <f t="shared" si="398"/>
        <v>0</v>
      </c>
      <c r="CV655">
        <f t="shared" si="399"/>
        <v>10</v>
      </c>
      <c r="CW655">
        <f t="shared" si="400"/>
        <v>0</v>
      </c>
      <c r="CX655">
        <f t="shared" si="401"/>
        <v>0</v>
      </c>
      <c r="CY655">
        <f t="shared" si="402"/>
        <v>3424.9459999999999</v>
      </c>
      <c r="CZ655">
        <f t="shared" si="403"/>
        <v>489.27799999999996</v>
      </c>
      <c r="DC655" t="s">
        <v>3</v>
      </c>
      <c r="DD655" t="s">
        <v>3</v>
      </c>
      <c r="DE655" t="s">
        <v>3</v>
      </c>
      <c r="DF655" t="s">
        <v>3</v>
      </c>
      <c r="DG655" t="s">
        <v>3</v>
      </c>
      <c r="DH655" t="s">
        <v>3</v>
      </c>
      <c r="DI655" t="s">
        <v>3</v>
      </c>
      <c r="DJ655" t="s">
        <v>3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1003</v>
      </c>
      <c r="DV655" t="s">
        <v>26</v>
      </c>
      <c r="DW655" t="s">
        <v>26</v>
      </c>
      <c r="DX655">
        <v>100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21</v>
      </c>
      <c r="EH655">
        <v>0</v>
      </c>
      <c r="EI655" t="s">
        <v>3</v>
      </c>
      <c r="EJ655">
        <v>4</v>
      </c>
      <c r="EK655">
        <v>0</v>
      </c>
      <c r="EL655" t="s">
        <v>22</v>
      </c>
      <c r="EM655" t="s">
        <v>23</v>
      </c>
      <c r="EO655" t="s">
        <v>3</v>
      </c>
      <c r="EQ655">
        <v>0</v>
      </c>
      <c r="ER655">
        <v>5375.66</v>
      </c>
      <c r="ES655">
        <v>22.51</v>
      </c>
      <c r="ET655">
        <v>0</v>
      </c>
      <c r="EU655">
        <v>0</v>
      </c>
      <c r="EV655">
        <v>5353.15</v>
      </c>
      <c r="EW655">
        <v>10</v>
      </c>
      <c r="EX655">
        <v>0</v>
      </c>
      <c r="EY655">
        <v>0</v>
      </c>
      <c r="FQ655">
        <v>0</v>
      </c>
      <c r="FR655">
        <f t="shared" si="404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1062391459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</v>
      </c>
      <c r="GL655">
        <f t="shared" si="405"/>
        <v>0</v>
      </c>
      <c r="GM655">
        <f t="shared" si="406"/>
        <v>8827.58</v>
      </c>
      <c r="GN655">
        <f t="shared" si="407"/>
        <v>0</v>
      </c>
      <c r="GO655">
        <f t="shared" si="408"/>
        <v>0</v>
      </c>
      <c r="GP655">
        <f t="shared" si="409"/>
        <v>8827.58</v>
      </c>
      <c r="GR655">
        <v>0</v>
      </c>
      <c r="GS655">
        <v>3</v>
      </c>
      <c r="GT655">
        <v>0</v>
      </c>
      <c r="GU655" t="s">
        <v>3</v>
      </c>
      <c r="GV655">
        <f t="shared" si="410"/>
        <v>0</v>
      </c>
      <c r="GW655">
        <v>1</v>
      </c>
      <c r="GX655">
        <f t="shared" si="411"/>
        <v>0</v>
      </c>
      <c r="HA655">
        <v>0</v>
      </c>
      <c r="HB655">
        <v>0</v>
      </c>
      <c r="HC655">
        <f t="shared" si="412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6" spans="1:245" x14ac:dyDescent="0.2">
      <c r="A656">
        <v>17</v>
      </c>
      <c r="B656">
        <v>1</v>
      </c>
      <c r="D656">
        <f>ROW(EtalonRes!A241)</f>
        <v>241</v>
      </c>
      <c r="E656" t="s">
        <v>3</v>
      </c>
      <c r="F656" t="s">
        <v>337</v>
      </c>
      <c r="G656" t="s">
        <v>338</v>
      </c>
      <c r="H656" t="s">
        <v>26</v>
      </c>
      <c r="I656">
        <f>ROUND((2920+10+1300+340)*0.1/100,9)</f>
        <v>4.57</v>
      </c>
      <c r="J656">
        <v>0</v>
      </c>
      <c r="K656">
        <f>ROUND((2920+10+1300+340)*0.1/100,9)</f>
        <v>4.57</v>
      </c>
      <c r="O656">
        <f t="shared" si="373"/>
        <v>807.34</v>
      </c>
      <c r="P656">
        <f t="shared" si="374"/>
        <v>0</v>
      </c>
      <c r="Q656">
        <f t="shared" si="375"/>
        <v>0</v>
      </c>
      <c r="R656">
        <f t="shared" si="376"/>
        <v>0</v>
      </c>
      <c r="S656">
        <f t="shared" si="377"/>
        <v>807.34</v>
      </c>
      <c r="T656">
        <f t="shared" si="378"/>
        <v>0</v>
      </c>
      <c r="U656">
        <f t="shared" si="379"/>
        <v>1.5081000000000002</v>
      </c>
      <c r="V656">
        <f t="shared" si="380"/>
        <v>0</v>
      </c>
      <c r="W656">
        <f t="shared" si="381"/>
        <v>0</v>
      </c>
      <c r="X656">
        <f t="shared" si="382"/>
        <v>565.14</v>
      </c>
      <c r="Y656">
        <f t="shared" si="383"/>
        <v>80.73</v>
      </c>
      <c r="AA656">
        <v>-1</v>
      </c>
      <c r="AB656">
        <f t="shared" si="384"/>
        <v>176.66</v>
      </c>
      <c r="AC656">
        <f t="shared" si="385"/>
        <v>0</v>
      </c>
      <c r="AD656">
        <f t="shared" si="386"/>
        <v>0</v>
      </c>
      <c r="AE656">
        <f t="shared" si="387"/>
        <v>0</v>
      </c>
      <c r="AF656">
        <f t="shared" si="388"/>
        <v>176.66</v>
      </c>
      <c r="AG656">
        <f t="shared" si="389"/>
        <v>0</v>
      </c>
      <c r="AH656">
        <f t="shared" si="390"/>
        <v>0.33</v>
      </c>
      <c r="AI656">
        <f t="shared" si="391"/>
        <v>0</v>
      </c>
      <c r="AJ656">
        <f t="shared" si="392"/>
        <v>0</v>
      </c>
      <c r="AK656">
        <v>176.66</v>
      </c>
      <c r="AL656">
        <v>0</v>
      </c>
      <c r="AM656">
        <v>0</v>
      </c>
      <c r="AN656">
        <v>0</v>
      </c>
      <c r="AO656">
        <v>176.66</v>
      </c>
      <c r="AP656">
        <v>0</v>
      </c>
      <c r="AQ656">
        <v>0.33</v>
      </c>
      <c r="AR656">
        <v>0</v>
      </c>
      <c r="AS656">
        <v>0</v>
      </c>
      <c r="AT656">
        <v>70</v>
      </c>
      <c r="AU656">
        <v>10</v>
      </c>
      <c r="AV656">
        <v>1</v>
      </c>
      <c r="AW656">
        <v>1</v>
      </c>
      <c r="AZ656">
        <v>1</v>
      </c>
      <c r="BA656">
        <v>1</v>
      </c>
      <c r="BB656">
        <v>1</v>
      </c>
      <c r="BC656">
        <v>1</v>
      </c>
      <c r="BD656" t="s">
        <v>3</v>
      </c>
      <c r="BE656" t="s">
        <v>3</v>
      </c>
      <c r="BF656" t="s">
        <v>3</v>
      </c>
      <c r="BG656" t="s">
        <v>3</v>
      </c>
      <c r="BH656">
        <v>0</v>
      </c>
      <c r="BI656">
        <v>4</v>
      </c>
      <c r="BJ656" t="s">
        <v>339</v>
      </c>
      <c r="BM656">
        <v>0</v>
      </c>
      <c r="BN656">
        <v>0</v>
      </c>
      <c r="BO656" t="s">
        <v>3</v>
      </c>
      <c r="BP656">
        <v>0</v>
      </c>
      <c r="BQ656">
        <v>1</v>
      </c>
      <c r="BR656">
        <v>0</v>
      </c>
      <c r="BS656">
        <v>1</v>
      </c>
      <c r="BT656">
        <v>1</v>
      </c>
      <c r="BU656">
        <v>1</v>
      </c>
      <c r="BV656">
        <v>1</v>
      </c>
      <c r="BW656">
        <v>1</v>
      </c>
      <c r="BX656">
        <v>1</v>
      </c>
      <c r="BY656" t="s">
        <v>3</v>
      </c>
      <c r="BZ656">
        <v>70</v>
      </c>
      <c r="CA656">
        <v>10</v>
      </c>
      <c r="CB656" t="s">
        <v>3</v>
      </c>
      <c r="CE656">
        <v>0</v>
      </c>
      <c r="CF656">
        <v>0</v>
      </c>
      <c r="CG656">
        <v>0</v>
      </c>
      <c r="CM656">
        <v>0</v>
      </c>
      <c r="CN656" t="s">
        <v>3</v>
      </c>
      <c r="CO656">
        <v>0</v>
      </c>
      <c r="CP656">
        <f t="shared" si="393"/>
        <v>807.34</v>
      </c>
      <c r="CQ656">
        <f t="shared" si="394"/>
        <v>0</v>
      </c>
      <c r="CR656">
        <f t="shared" si="395"/>
        <v>0</v>
      </c>
      <c r="CS656">
        <f t="shared" si="396"/>
        <v>0</v>
      </c>
      <c r="CT656">
        <f t="shared" si="397"/>
        <v>176.66</v>
      </c>
      <c r="CU656">
        <f t="shared" si="398"/>
        <v>0</v>
      </c>
      <c r="CV656">
        <f t="shared" si="399"/>
        <v>0.33</v>
      </c>
      <c r="CW656">
        <f t="shared" si="400"/>
        <v>0</v>
      </c>
      <c r="CX656">
        <f t="shared" si="401"/>
        <v>0</v>
      </c>
      <c r="CY656">
        <f t="shared" si="402"/>
        <v>565.13800000000003</v>
      </c>
      <c r="CZ656">
        <f t="shared" si="403"/>
        <v>80.734000000000009</v>
      </c>
      <c r="DC656" t="s">
        <v>3</v>
      </c>
      <c r="DD656" t="s">
        <v>3</v>
      </c>
      <c r="DE656" t="s">
        <v>3</v>
      </c>
      <c r="DF656" t="s">
        <v>3</v>
      </c>
      <c r="DG656" t="s">
        <v>3</v>
      </c>
      <c r="DH656" t="s">
        <v>3</v>
      </c>
      <c r="DI656" t="s">
        <v>3</v>
      </c>
      <c r="DJ656" t="s">
        <v>3</v>
      </c>
      <c r="DK656" t="s">
        <v>3</v>
      </c>
      <c r="DL656" t="s">
        <v>3</v>
      </c>
      <c r="DM656" t="s">
        <v>3</v>
      </c>
      <c r="DN656">
        <v>0</v>
      </c>
      <c r="DO656">
        <v>0</v>
      </c>
      <c r="DP656">
        <v>1</v>
      </c>
      <c r="DQ656">
        <v>1</v>
      </c>
      <c r="DU656">
        <v>1003</v>
      </c>
      <c r="DV656" t="s">
        <v>26</v>
      </c>
      <c r="DW656" t="s">
        <v>26</v>
      </c>
      <c r="DX656">
        <v>100</v>
      </c>
      <c r="DZ656" t="s">
        <v>3</v>
      </c>
      <c r="EA656" t="s">
        <v>3</v>
      </c>
      <c r="EB656" t="s">
        <v>3</v>
      </c>
      <c r="EC656" t="s">
        <v>3</v>
      </c>
      <c r="EE656">
        <v>1441815344</v>
      </c>
      <c r="EF656">
        <v>1</v>
      </c>
      <c r="EG656" t="s">
        <v>21</v>
      </c>
      <c r="EH656">
        <v>0</v>
      </c>
      <c r="EI656" t="s">
        <v>3</v>
      </c>
      <c r="EJ656">
        <v>4</v>
      </c>
      <c r="EK656">
        <v>0</v>
      </c>
      <c r="EL656" t="s">
        <v>22</v>
      </c>
      <c r="EM656" t="s">
        <v>23</v>
      </c>
      <c r="EO656" t="s">
        <v>3</v>
      </c>
      <c r="EQ656">
        <v>1024</v>
      </c>
      <c r="ER656">
        <v>176.66</v>
      </c>
      <c r="ES656">
        <v>0</v>
      </c>
      <c r="ET656">
        <v>0</v>
      </c>
      <c r="EU656">
        <v>0</v>
      </c>
      <c r="EV656">
        <v>176.66</v>
      </c>
      <c r="EW656">
        <v>0.33</v>
      </c>
      <c r="EX656">
        <v>0</v>
      </c>
      <c r="EY656">
        <v>0</v>
      </c>
      <c r="FQ656">
        <v>0</v>
      </c>
      <c r="FR656">
        <f t="shared" si="404"/>
        <v>0</v>
      </c>
      <c r="FS656">
        <v>0</v>
      </c>
      <c r="FX656">
        <v>70</v>
      </c>
      <c r="FY656">
        <v>10</v>
      </c>
      <c r="GA656" t="s">
        <v>3</v>
      </c>
      <c r="GD656">
        <v>0</v>
      </c>
      <c r="GF656">
        <v>2088911103</v>
      </c>
      <c r="GG656">
        <v>2</v>
      </c>
      <c r="GH656">
        <v>1</v>
      </c>
      <c r="GI656">
        <v>-2</v>
      </c>
      <c r="GJ656">
        <v>0</v>
      </c>
      <c r="GK656">
        <f>ROUND(R656*(R12)/100,2)</f>
        <v>0</v>
      </c>
      <c r="GL656">
        <f t="shared" si="405"/>
        <v>0</v>
      </c>
      <c r="GM656">
        <f t="shared" si="406"/>
        <v>1453.21</v>
      </c>
      <c r="GN656">
        <f t="shared" si="407"/>
        <v>0</v>
      </c>
      <c r="GO656">
        <f t="shared" si="408"/>
        <v>0</v>
      </c>
      <c r="GP656">
        <f t="shared" si="409"/>
        <v>1453.21</v>
      </c>
      <c r="GR656">
        <v>0</v>
      </c>
      <c r="GS656">
        <v>3</v>
      </c>
      <c r="GT656">
        <v>0</v>
      </c>
      <c r="GU656" t="s">
        <v>3</v>
      </c>
      <c r="GV656">
        <f t="shared" si="410"/>
        <v>0</v>
      </c>
      <c r="GW656">
        <v>1</v>
      </c>
      <c r="GX656">
        <f t="shared" si="411"/>
        <v>0</v>
      </c>
      <c r="HA656">
        <v>0</v>
      </c>
      <c r="HB656">
        <v>0</v>
      </c>
      <c r="HC656">
        <f t="shared" si="412"/>
        <v>0</v>
      </c>
      <c r="HE656" t="s">
        <v>3</v>
      </c>
      <c r="HF656" t="s">
        <v>3</v>
      </c>
      <c r="HM656" t="s">
        <v>3</v>
      </c>
      <c r="HN656" t="s">
        <v>3</v>
      </c>
      <c r="HO656" t="s">
        <v>3</v>
      </c>
      <c r="HP656" t="s">
        <v>3</v>
      </c>
      <c r="HQ656" t="s">
        <v>3</v>
      </c>
      <c r="IK656">
        <v>0</v>
      </c>
    </row>
    <row r="657" spans="1:245" x14ac:dyDescent="0.2">
      <c r="A657">
        <v>17</v>
      </c>
      <c r="B657">
        <v>1</v>
      </c>
      <c r="D657">
        <f>ROW(EtalonRes!A243)</f>
        <v>243</v>
      </c>
      <c r="E657" t="s">
        <v>340</v>
      </c>
      <c r="F657" t="s">
        <v>341</v>
      </c>
      <c r="G657" t="s">
        <v>342</v>
      </c>
      <c r="H657" t="s">
        <v>26</v>
      </c>
      <c r="I657">
        <f>ROUND(ROUND((635)*0.2*0.1/100,9),9)</f>
        <v>0.127</v>
      </c>
      <c r="J657">
        <v>0</v>
      </c>
      <c r="K657">
        <f>ROUND(ROUND((635)*0.2*0.1/100,9),9)</f>
        <v>0.127</v>
      </c>
      <c r="O657">
        <f t="shared" si="373"/>
        <v>764.65</v>
      </c>
      <c r="P657">
        <f t="shared" si="374"/>
        <v>1.86</v>
      </c>
      <c r="Q657">
        <f t="shared" si="375"/>
        <v>0</v>
      </c>
      <c r="R657">
        <f t="shared" si="376"/>
        <v>0</v>
      </c>
      <c r="S657">
        <f t="shared" si="377"/>
        <v>762.79</v>
      </c>
      <c r="T657">
        <f t="shared" si="378"/>
        <v>0</v>
      </c>
      <c r="U657">
        <f t="shared" si="379"/>
        <v>1.4249400000000001</v>
      </c>
      <c r="V657">
        <f t="shared" si="380"/>
        <v>0</v>
      </c>
      <c r="W657">
        <f t="shared" si="381"/>
        <v>0</v>
      </c>
      <c r="X657">
        <f t="shared" si="382"/>
        <v>533.95000000000005</v>
      </c>
      <c r="Y657">
        <f t="shared" si="383"/>
        <v>76.28</v>
      </c>
      <c r="AA657">
        <v>1473080740</v>
      </c>
      <c r="AB657">
        <f t="shared" si="384"/>
        <v>6020.87</v>
      </c>
      <c r="AC657">
        <f t="shared" si="385"/>
        <v>14.63</v>
      </c>
      <c r="AD657">
        <f t="shared" si="386"/>
        <v>0</v>
      </c>
      <c r="AE657">
        <f t="shared" si="387"/>
        <v>0</v>
      </c>
      <c r="AF657">
        <f t="shared" si="388"/>
        <v>6006.24</v>
      </c>
      <c r="AG657">
        <f t="shared" si="389"/>
        <v>0</v>
      </c>
      <c r="AH657">
        <f t="shared" si="390"/>
        <v>11.22</v>
      </c>
      <c r="AI657">
        <f t="shared" si="391"/>
        <v>0</v>
      </c>
      <c r="AJ657">
        <f t="shared" si="392"/>
        <v>0</v>
      </c>
      <c r="AK657">
        <v>6020.87</v>
      </c>
      <c r="AL657">
        <v>14.63</v>
      </c>
      <c r="AM657">
        <v>0</v>
      </c>
      <c r="AN657">
        <v>0</v>
      </c>
      <c r="AO657">
        <v>6006.24</v>
      </c>
      <c r="AP657">
        <v>0</v>
      </c>
      <c r="AQ657">
        <v>11.22</v>
      </c>
      <c r="AR657">
        <v>0</v>
      </c>
      <c r="AS657">
        <v>0</v>
      </c>
      <c r="AT657">
        <v>70</v>
      </c>
      <c r="AU657">
        <v>10</v>
      </c>
      <c r="AV657">
        <v>1</v>
      </c>
      <c r="AW657">
        <v>1</v>
      </c>
      <c r="AZ657">
        <v>1</v>
      </c>
      <c r="BA657">
        <v>1</v>
      </c>
      <c r="BB657">
        <v>1</v>
      </c>
      <c r="BC657">
        <v>1</v>
      </c>
      <c r="BD657" t="s">
        <v>3</v>
      </c>
      <c r="BE657" t="s">
        <v>3</v>
      </c>
      <c r="BF657" t="s">
        <v>3</v>
      </c>
      <c r="BG657" t="s">
        <v>3</v>
      </c>
      <c r="BH657">
        <v>0</v>
      </c>
      <c r="BI657">
        <v>4</v>
      </c>
      <c r="BJ657" t="s">
        <v>343</v>
      </c>
      <c r="BM657">
        <v>0</v>
      </c>
      <c r="BN657">
        <v>0</v>
      </c>
      <c r="BO657" t="s">
        <v>3</v>
      </c>
      <c r="BP657">
        <v>0</v>
      </c>
      <c r="BQ657">
        <v>1</v>
      </c>
      <c r="BR657">
        <v>0</v>
      </c>
      <c r="BS657">
        <v>1</v>
      </c>
      <c r="BT657">
        <v>1</v>
      </c>
      <c r="BU657">
        <v>1</v>
      </c>
      <c r="BV657">
        <v>1</v>
      </c>
      <c r="BW657">
        <v>1</v>
      </c>
      <c r="BX657">
        <v>1</v>
      </c>
      <c r="BY657" t="s">
        <v>3</v>
      </c>
      <c r="BZ657">
        <v>70</v>
      </c>
      <c r="CA657">
        <v>10</v>
      </c>
      <c r="CB657" t="s">
        <v>3</v>
      </c>
      <c r="CE657">
        <v>0</v>
      </c>
      <c r="CF657">
        <v>0</v>
      </c>
      <c r="CG657">
        <v>0</v>
      </c>
      <c r="CM657">
        <v>0</v>
      </c>
      <c r="CN657" t="s">
        <v>3</v>
      </c>
      <c r="CO657">
        <v>0</v>
      </c>
      <c r="CP657">
        <f t="shared" si="393"/>
        <v>764.65</v>
      </c>
      <c r="CQ657">
        <f t="shared" si="394"/>
        <v>14.63</v>
      </c>
      <c r="CR657">
        <f t="shared" si="395"/>
        <v>0</v>
      </c>
      <c r="CS657">
        <f t="shared" si="396"/>
        <v>0</v>
      </c>
      <c r="CT657">
        <f t="shared" si="397"/>
        <v>6006.24</v>
      </c>
      <c r="CU657">
        <f t="shared" si="398"/>
        <v>0</v>
      </c>
      <c r="CV657">
        <f t="shared" si="399"/>
        <v>11.22</v>
      </c>
      <c r="CW657">
        <f t="shared" si="400"/>
        <v>0</v>
      </c>
      <c r="CX657">
        <f t="shared" si="401"/>
        <v>0</v>
      </c>
      <c r="CY657">
        <f t="shared" si="402"/>
        <v>533.95299999999997</v>
      </c>
      <c r="CZ657">
        <f t="shared" si="403"/>
        <v>76.278999999999996</v>
      </c>
      <c r="DC657" t="s">
        <v>3</v>
      </c>
      <c r="DD657" t="s">
        <v>3</v>
      </c>
      <c r="DE657" t="s">
        <v>3</v>
      </c>
      <c r="DF657" t="s">
        <v>3</v>
      </c>
      <c r="DG657" t="s">
        <v>3</v>
      </c>
      <c r="DH657" t="s">
        <v>3</v>
      </c>
      <c r="DI657" t="s">
        <v>3</v>
      </c>
      <c r="DJ657" t="s">
        <v>3</v>
      </c>
      <c r="DK657" t="s">
        <v>3</v>
      </c>
      <c r="DL657" t="s">
        <v>3</v>
      </c>
      <c r="DM657" t="s">
        <v>3</v>
      </c>
      <c r="DN657">
        <v>0</v>
      </c>
      <c r="DO657">
        <v>0</v>
      </c>
      <c r="DP657">
        <v>1</v>
      </c>
      <c r="DQ657">
        <v>1</v>
      </c>
      <c r="DU657">
        <v>1003</v>
      </c>
      <c r="DV657" t="s">
        <v>26</v>
      </c>
      <c r="DW657" t="s">
        <v>26</v>
      </c>
      <c r="DX657">
        <v>100</v>
      </c>
      <c r="DZ657" t="s">
        <v>3</v>
      </c>
      <c r="EA657" t="s">
        <v>3</v>
      </c>
      <c r="EB657" t="s">
        <v>3</v>
      </c>
      <c r="EC657" t="s">
        <v>3</v>
      </c>
      <c r="EE657">
        <v>1441815344</v>
      </c>
      <c r="EF657">
        <v>1</v>
      </c>
      <c r="EG657" t="s">
        <v>21</v>
      </c>
      <c r="EH657">
        <v>0</v>
      </c>
      <c r="EI657" t="s">
        <v>3</v>
      </c>
      <c r="EJ657">
        <v>4</v>
      </c>
      <c r="EK657">
        <v>0</v>
      </c>
      <c r="EL657" t="s">
        <v>22</v>
      </c>
      <c r="EM657" t="s">
        <v>23</v>
      </c>
      <c r="EO657" t="s">
        <v>3</v>
      </c>
      <c r="EQ657">
        <v>0</v>
      </c>
      <c r="ER657">
        <v>6020.87</v>
      </c>
      <c r="ES657">
        <v>14.63</v>
      </c>
      <c r="ET657">
        <v>0</v>
      </c>
      <c r="EU657">
        <v>0</v>
      </c>
      <c r="EV657">
        <v>6006.24</v>
      </c>
      <c r="EW657">
        <v>11.22</v>
      </c>
      <c r="EX657">
        <v>0</v>
      </c>
      <c r="EY657">
        <v>0</v>
      </c>
      <c r="FQ657">
        <v>0</v>
      </c>
      <c r="FR657">
        <f t="shared" si="404"/>
        <v>0</v>
      </c>
      <c r="FS657">
        <v>0</v>
      </c>
      <c r="FX657">
        <v>70</v>
      </c>
      <c r="FY657">
        <v>10</v>
      </c>
      <c r="GA657" t="s">
        <v>3</v>
      </c>
      <c r="GD657">
        <v>0</v>
      </c>
      <c r="GF657">
        <v>-818188427</v>
      </c>
      <c r="GG657">
        <v>2</v>
      </c>
      <c r="GH657">
        <v>1</v>
      </c>
      <c r="GI657">
        <v>-2</v>
      </c>
      <c r="GJ657">
        <v>0</v>
      </c>
      <c r="GK657">
        <f>ROUND(R657*(R12)/100,2)</f>
        <v>0</v>
      </c>
      <c r="GL657">
        <f t="shared" si="405"/>
        <v>0</v>
      </c>
      <c r="GM657">
        <f t="shared" si="406"/>
        <v>1374.88</v>
      </c>
      <c r="GN657">
        <f t="shared" si="407"/>
        <v>0</v>
      </c>
      <c r="GO657">
        <f t="shared" si="408"/>
        <v>0</v>
      </c>
      <c r="GP657">
        <f t="shared" si="409"/>
        <v>1374.88</v>
      </c>
      <c r="GR657">
        <v>0</v>
      </c>
      <c r="GS657">
        <v>3</v>
      </c>
      <c r="GT657">
        <v>0</v>
      </c>
      <c r="GU657" t="s">
        <v>3</v>
      </c>
      <c r="GV657">
        <f t="shared" si="410"/>
        <v>0</v>
      </c>
      <c r="GW657">
        <v>1</v>
      </c>
      <c r="GX657">
        <f t="shared" si="411"/>
        <v>0</v>
      </c>
      <c r="HA657">
        <v>0</v>
      </c>
      <c r="HB657">
        <v>0</v>
      </c>
      <c r="HC657">
        <f t="shared" si="412"/>
        <v>0</v>
      </c>
      <c r="HE657" t="s">
        <v>3</v>
      </c>
      <c r="HF657" t="s">
        <v>3</v>
      </c>
      <c r="HM657" t="s">
        <v>3</v>
      </c>
      <c r="HN657" t="s">
        <v>3</v>
      </c>
      <c r="HO657" t="s">
        <v>3</v>
      </c>
      <c r="HP657" t="s">
        <v>3</v>
      </c>
      <c r="HQ657" t="s">
        <v>3</v>
      </c>
      <c r="IK657">
        <v>0</v>
      </c>
    </row>
    <row r="658" spans="1:245" x14ac:dyDescent="0.2">
      <c r="A658">
        <v>17</v>
      </c>
      <c r="B658">
        <v>1</v>
      </c>
      <c r="D658">
        <f>ROW(EtalonRes!A245)</f>
        <v>245</v>
      </c>
      <c r="E658" t="s">
        <v>3</v>
      </c>
      <c r="F658" t="s">
        <v>344</v>
      </c>
      <c r="G658" t="s">
        <v>345</v>
      </c>
      <c r="H658" t="s">
        <v>26</v>
      </c>
      <c r="I658">
        <f>ROUND(ROUND((635)*0.1/100,9),9)</f>
        <v>0.63500000000000001</v>
      </c>
      <c r="J658">
        <v>0</v>
      </c>
      <c r="K658">
        <f>ROUND(ROUND((635)*0.1/100,9),9)</f>
        <v>0.63500000000000001</v>
      </c>
      <c r="O658">
        <f t="shared" si="373"/>
        <v>129.41</v>
      </c>
      <c r="P658">
        <f t="shared" si="374"/>
        <v>0.24</v>
      </c>
      <c r="Q658">
        <f t="shared" si="375"/>
        <v>0</v>
      </c>
      <c r="R658">
        <f t="shared" si="376"/>
        <v>0</v>
      </c>
      <c r="S658">
        <f t="shared" si="377"/>
        <v>129.16999999999999</v>
      </c>
      <c r="T658">
        <f t="shared" si="378"/>
        <v>0</v>
      </c>
      <c r="U658">
        <f t="shared" si="379"/>
        <v>0.24130000000000001</v>
      </c>
      <c r="V658">
        <f t="shared" si="380"/>
        <v>0</v>
      </c>
      <c r="W658">
        <f t="shared" si="381"/>
        <v>0</v>
      </c>
      <c r="X658">
        <f t="shared" si="382"/>
        <v>90.42</v>
      </c>
      <c r="Y658">
        <f t="shared" si="383"/>
        <v>12.92</v>
      </c>
      <c r="AA658">
        <v>-1</v>
      </c>
      <c r="AB658">
        <f t="shared" si="384"/>
        <v>203.8</v>
      </c>
      <c r="AC658">
        <f t="shared" si="385"/>
        <v>0.38</v>
      </c>
      <c r="AD658">
        <f t="shared" si="386"/>
        <v>0</v>
      </c>
      <c r="AE658">
        <f t="shared" si="387"/>
        <v>0</v>
      </c>
      <c r="AF658">
        <f t="shared" si="388"/>
        <v>203.42</v>
      </c>
      <c r="AG658">
        <f t="shared" si="389"/>
        <v>0</v>
      </c>
      <c r="AH658">
        <f t="shared" si="390"/>
        <v>0.38</v>
      </c>
      <c r="AI658">
        <f t="shared" si="391"/>
        <v>0</v>
      </c>
      <c r="AJ658">
        <f t="shared" si="392"/>
        <v>0</v>
      </c>
      <c r="AK658">
        <v>203.8</v>
      </c>
      <c r="AL658">
        <v>0.38</v>
      </c>
      <c r="AM658">
        <v>0</v>
      </c>
      <c r="AN658">
        <v>0</v>
      </c>
      <c r="AO658">
        <v>203.42</v>
      </c>
      <c r="AP658">
        <v>0</v>
      </c>
      <c r="AQ658">
        <v>0.38</v>
      </c>
      <c r="AR658">
        <v>0</v>
      </c>
      <c r="AS658">
        <v>0</v>
      </c>
      <c r="AT658">
        <v>70</v>
      </c>
      <c r="AU658">
        <v>10</v>
      </c>
      <c r="AV658">
        <v>1</v>
      </c>
      <c r="AW658">
        <v>1</v>
      </c>
      <c r="AZ658">
        <v>1</v>
      </c>
      <c r="BA658">
        <v>1</v>
      </c>
      <c r="BB658">
        <v>1</v>
      </c>
      <c r="BC658">
        <v>1</v>
      </c>
      <c r="BD658" t="s">
        <v>3</v>
      </c>
      <c r="BE658" t="s">
        <v>3</v>
      </c>
      <c r="BF658" t="s">
        <v>3</v>
      </c>
      <c r="BG658" t="s">
        <v>3</v>
      </c>
      <c r="BH658">
        <v>0</v>
      </c>
      <c r="BI658">
        <v>4</v>
      </c>
      <c r="BJ658" t="s">
        <v>346</v>
      </c>
      <c r="BM658">
        <v>0</v>
      </c>
      <c r="BN658">
        <v>0</v>
      </c>
      <c r="BO658" t="s">
        <v>3</v>
      </c>
      <c r="BP658">
        <v>0</v>
      </c>
      <c r="BQ658">
        <v>1</v>
      </c>
      <c r="BR658">
        <v>0</v>
      </c>
      <c r="BS658">
        <v>1</v>
      </c>
      <c r="BT658">
        <v>1</v>
      </c>
      <c r="BU658">
        <v>1</v>
      </c>
      <c r="BV658">
        <v>1</v>
      </c>
      <c r="BW658">
        <v>1</v>
      </c>
      <c r="BX658">
        <v>1</v>
      </c>
      <c r="BY658" t="s">
        <v>3</v>
      </c>
      <c r="BZ658">
        <v>70</v>
      </c>
      <c r="CA658">
        <v>10</v>
      </c>
      <c r="CB658" t="s">
        <v>3</v>
      </c>
      <c r="CE658">
        <v>0</v>
      </c>
      <c r="CF658">
        <v>0</v>
      </c>
      <c r="CG658">
        <v>0</v>
      </c>
      <c r="CM658">
        <v>0</v>
      </c>
      <c r="CN658" t="s">
        <v>3</v>
      </c>
      <c r="CO658">
        <v>0</v>
      </c>
      <c r="CP658">
        <f t="shared" si="393"/>
        <v>129.41</v>
      </c>
      <c r="CQ658">
        <f t="shared" si="394"/>
        <v>0.38</v>
      </c>
      <c r="CR658">
        <f t="shared" si="395"/>
        <v>0</v>
      </c>
      <c r="CS658">
        <f t="shared" si="396"/>
        <v>0</v>
      </c>
      <c r="CT658">
        <f t="shared" si="397"/>
        <v>203.42</v>
      </c>
      <c r="CU658">
        <f t="shared" si="398"/>
        <v>0</v>
      </c>
      <c r="CV658">
        <f t="shared" si="399"/>
        <v>0.38</v>
      </c>
      <c r="CW658">
        <f t="shared" si="400"/>
        <v>0</v>
      </c>
      <c r="CX658">
        <f t="shared" si="401"/>
        <v>0</v>
      </c>
      <c r="CY658">
        <f t="shared" si="402"/>
        <v>90.418999999999997</v>
      </c>
      <c r="CZ658">
        <f t="shared" si="403"/>
        <v>12.916999999999998</v>
      </c>
      <c r="DC658" t="s">
        <v>3</v>
      </c>
      <c r="DD658" t="s">
        <v>3</v>
      </c>
      <c r="DE658" t="s">
        <v>3</v>
      </c>
      <c r="DF658" t="s">
        <v>3</v>
      </c>
      <c r="DG658" t="s">
        <v>3</v>
      </c>
      <c r="DH658" t="s">
        <v>3</v>
      </c>
      <c r="DI658" t="s">
        <v>3</v>
      </c>
      <c r="DJ658" t="s">
        <v>3</v>
      </c>
      <c r="DK658" t="s">
        <v>3</v>
      </c>
      <c r="DL658" t="s">
        <v>3</v>
      </c>
      <c r="DM658" t="s">
        <v>3</v>
      </c>
      <c r="DN658">
        <v>0</v>
      </c>
      <c r="DO658">
        <v>0</v>
      </c>
      <c r="DP658">
        <v>1</v>
      </c>
      <c r="DQ658">
        <v>1</v>
      </c>
      <c r="DU658">
        <v>1003</v>
      </c>
      <c r="DV658" t="s">
        <v>26</v>
      </c>
      <c r="DW658" t="s">
        <v>26</v>
      </c>
      <c r="DX658">
        <v>100</v>
      </c>
      <c r="DZ658" t="s">
        <v>3</v>
      </c>
      <c r="EA658" t="s">
        <v>3</v>
      </c>
      <c r="EB658" t="s">
        <v>3</v>
      </c>
      <c r="EC658" t="s">
        <v>3</v>
      </c>
      <c r="EE658">
        <v>1441815344</v>
      </c>
      <c r="EF658">
        <v>1</v>
      </c>
      <c r="EG658" t="s">
        <v>21</v>
      </c>
      <c r="EH658">
        <v>0</v>
      </c>
      <c r="EI658" t="s">
        <v>3</v>
      </c>
      <c r="EJ658">
        <v>4</v>
      </c>
      <c r="EK658">
        <v>0</v>
      </c>
      <c r="EL658" t="s">
        <v>22</v>
      </c>
      <c r="EM658" t="s">
        <v>23</v>
      </c>
      <c r="EO658" t="s">
        <v>3</v>
      </c>
      <c r="EQ658">
        <v>1024</v>
      </c>
      <c r="ER658">
        <v>203.8</v>
      </c>
      <c r="ES658">
        <v>0.38</v>
      </c>
      <c r="ET658">
        <v>0</v>
      </c>
      <c r="EU658">
        <v>0</v>
      </c>
      <c r="EV658">
        <v>203.42</v>
      </c>
      <c r="EW658">
        <v>0.38</v>
      </c>
      <c r="EX658">
        <v>0</v>
      </c>
      <c r="EY658">
        <v>0</v>
      </c>
      <c r="FQ658">
        <v>0</v>
      </c>
      <c r="FR658">
        <f t="shared" si="404"/>
        <v>0</v>
      </c>
      <c r="FS658">
        <v>0</v>
      </c>
      <c r="FX658">
        <v>70</v>
      </c>
      <c r="FY658">
        <v>10</v>
      </c>
      <c r="GA658" t="s">
        <v>3</v>
      </c>
      <c r="GD658">
        <v>0</v>
      </c>
      <c r="GF658">
        <v>1526751817</v>
      </c>
      <c r="GG658">
        <v>2</v>
      </c>
      <c r="GH658">
        <v>1</v>
      </c>
      <c r="GI658">
        <v>-2</v>
      </c>
      <c r="GJ658">
        <v>0</v>
      </c>
      <c r="GK658">
        <f>ROUND(R658*(R12)/100,2)</f>
        <v>0</v>
      </c>
      <c r="GL658">
        <f t="shared" si="405"/>
        <v>0</v>
      </c>
      <c r="GM658">
        <f t="shared" si="406"/>
        <v>232.75</v>
      </c>
      <c r="GN658">
        <f t="shared" si="407"/>
        <v>0</v>
      </c>
      <c r="GO658">
        <f t="shared" si="408"/>
        <v>0</v>
      </c>
      <c r="GP658">
        <f t="shared" si="409"/>
        <v>232.75</v>
      </c>
      <c r="GR658">
        <v>0</v>
      </c>
      <c r="GS658">
        <v>3</v>
      </c>
      <c r="GT658">
        <v>0</v>
      </c>
      <c r="GU658" t="s">
        <v>3</v>
      </c>
      <c r="GV658">
        <f t="shared" si="410"/>
        <v>0</v>
      </c>
      <c r="GW658">
        <v>1</v>
      </c>
      <c r="GX658">
        <f t="shared" si="411"/>
        <v>0</v>
      </c>
      <c r="HA658">
        <v>0</v>
      </c>
      <c r="HB658">
        <v>0</v>
      </c>
      <c r="HC658">
        <f t="shared" si="412"/>
        <v>0</v>
      </c>
      <c r="HE658" t="s">
        <v>3</v>
      </c>
      <c r="HF658" t="s">
        <v>3</v>
      </c>
      <c r="HM658" t="s">
        <v>3</v>
      </c>
      <c r="HN658" t="s">
        <v>3</v>
      </c>
      <c r="HO658" t="s">
        <v>3</v>
      </c>
      <c r="HP658" t="s">
        <v>3</v>
      </c>
      <c r="HQ658" t="s">
        <v>3</v>
      </c>
      <c r="IK658">
        <v>0</v>
      </c>
    </row>
    <row r="659" spans="1:245" x14ac:dyDescent="0.2">
      <c r="A659">
        <v>17</v>
      </c>
      <c r="B659">
        <v>1</v>
      </c>
      <c r="D659">
        <f>ROW(EtalonRes!A247)</f>
        <v>247</v>
      </c>
      <c r="E659" t="s">
        <v>347</v>
      </c>
      <c r="F659" t="s">
        <v>341</v>
      </c>
      <c r="G659" t="s">
        <v>348</v>
      </c>
      <c r="H659" t="s">
        <v>26</v>
      </c>
      <c r="I659">
        <f>ROUND(ROUND((10+140+20)*0.2*0.1/100,9),9)</f>
        <v>3.4000000000000002E-2</v>
      </c>
      <c r="J659">
        <v>0</v>
      </c>
      <c r="K659">
        <f>ROUND(ROUND((10+140+20)*0.2*0.1/100,9),9)</f>
        <v>3.4000000000000002E-2</v>
      </c>
      <c r="O659">
        <f t="shared" si="373"/>
        <v>204.71</v>
      </c>
      <c r="P659">
        <f t="shared" si="374"/>
        <v>0.5</v>
      </c>
      <c r="Q659">
        <f t="shared" si="375"/>
        <v>0</v>
      </c>
      <c r="R659">
        <f t="shared" si="376"/>
        <v>0</v>
      </c>
      <c r="S659">
        <f t="shared" si="377"/>
        <v>204.21</v>
      </c>
      <c r="T659">
        <f t="shared" si="378"/>
        <v>0</v>
      </c>
      <c r="U659">
        <f t="shared" si="379"/>
        <v>0.38148000000000004</v>
      </c>
      <c r="V659">
        <f t="shared" si="380"/>
        <v>0</v>
      </c>
      <c r="W659">
        <f t="shared" si="381"/>
        <v>0</v>
      </c>
      <c r="X659">
        <f t="shared" si="382"/>
        <v>142.94999999999999</v>
      </c>
      <c r="Y659">
        <f t="shared" si="383"/>
        <v>20.420000000000002</v>
      </c>
      <c r="AA659">
        <v>1473080740</v>
      </c>
      <c r="AB659">
        <f t="shared" si="384"/>
        <v>6020.87</v>
      </c>
      <c r="AC659">
        <f t="shared" si="385"/>
        <v>14.63</v>
      </c>
      <c r="AD659">
        <f t="shared" si="386"/>
        <v>0</v>
      </c>
      <c r="AE659">
        <f t="shared" si="387"/>
        <v>0</v>
      </c>
      <c r="AF659">
        <f t="shared" si="388"/>
        <v>6006.24</v>
      </c>
      <c r="AG659">
        <f t="shared" si="389"/>
        <v>0</v>
      </c>
      <c r="AH659">
        <f t="shared" si="390"/>
        <v>11.22</v>
      </c>
      <c r="AI659">
        <f t="shared" si="391"/>
        <v>0</v>
      </c>
      <c r="AJ659">
        <f t="shared" si="392"/>
        <v>0</v>
      </c>
      <c r="AK659">
        <v>6020.87</v>
      </c>
      <c r="AL659">
        <v>14.63</v>
      </c>
      <c r="AM659">
        <v>0</v>
      </c>
      <c r="AN659">
        <v>0</v>
      </c>
      <c r="AO659">
        <v>6006.24</v>
      </c>
      <c r="AP659">
        <v>0</v>
      </c>
      <c r="AQ659">
        <v>11.22</v>
      </c>
      <c r="AR659">
        <v>0</v>
      </c>
      <c r="AS659">
        <v>0</v>
      </c>
      <c r="AT659">
        <v>70</v>
      </c>
      <c r="AU659">
        <v>10</v>
      </c>
      <c r="AV659">
        <v>1</v>
      </c>
      <c r="AW659">
        <v>1</v>
      </c>
      <c r="AZ659">
        <v>1</v>
      </c>
      <c r="BA659">
        <v>1</v>
      </c>
      <c r="BB659">
        <v>1</v>
      </c>
      <c r="BC659">
        <v>1</v>
      </c>
      <c r="BD659" t="s">
        <v>3</v>
      </c>
      <c r="BE659" t="s">
        <v>3</v>
      </c>
      <c r="BF659" t="s">
        <v>3</v>
      </c>
      <c r="BG659" t="s">
        <v>3</v>
      </c>
      <c r="BH659">
        <v>0</v>
      </c>
      <c r="BI659">
        <v>4</v>
      </c>
      <c r="BJ659" t="s">
        <v>343</v>
      </c>
      <c r="BM659">
        <v>0</v>
      </c>
      <c r="BN659">
        <v>0</v>
      </c>
      <c r="BO659" t="s">
        <v>3</v>
      </c>
      <c r="BP659">
        <v>0</v>
      </c>
      <c r="BQ659">
        <v>1</v>
      </c>
      <c r="BR659">
        <v>0</v>
      </c>
      <c r="BS659">
        <v>1</v>
      </c>
      <c r="BT659">
        <v>1</v>
      </c>
      <c r="BU659">
        <v>1</v>
      </c>
      <c r="BV659">
        <v>1</v>
      </c>
      <c r="BW659">
        <v>1</v>
      </c>
      <c r="BX659">
        <v>1</v>
      </c>
      <c r="BY659" t="s">
        <v>3</v>
      </c>
      <c r="BZ659">
        <v>70</v>
      </c>
      <c r="CA659">
        <v>10</v>
      </c>
      <c r="CB659" t="s">
        <v>3</v>
      </c>
      <c r="CE659">
        <v>0</v>
      </c>
      <c r="CF659">
        <v>0</v>
      </c>
      <c r="CG659">
        <v>0</v>
      </c>
      <c r="CM659">
        <v>0</v>
      </c>
      <c r="CN659" t="s">
        <v>3</v>
      </c>
      <c r="CO659">
        <v>0</v>
      </c>
      <c r="CP659">
        <f t="shared" si="393"/>
        <v>204.71</v>
      </c>
      <c r="CQ659">
        <f t="shared" si="394"/>
        <v>14.63</v>
      </c>
      <c r="CR659">
        <f t="shared" si="395"/>
        <v>0</v>
      </c>
      <c r="CS659">
        <f t="shared" si="396"/>
        <v>0</v>
      </c>
      <c r="CT659">
        <f t="shared" si="397"/>
        <v>6006.24</v>
      </c>
      <c r="CU659">
        <f t="shared" si="398"/>
        <v>0</v>
      </c>
      <c r="CV659">
        <f t="shared" si="399"/>
        <v>11.22</v>
      </c>
      <c r="CW659">
        <f t="shared" si="400"/>
        <v>0</v>
      </c>
      <c r="CX659">
        <f t="shared" si="401"/>
        <v>0</v>
      </c>
      <c r="CY659">
        <f t="shared" si="402"/>
        <v>142.947</v>
      </c>
      <c r="CZ659">
        <f t="shared" si="403"/>
        <v>20.421000000000003</v>
      </c>
      <c r="DC659" t="s">
        <v>3</v>
      </c>
      <c r="DD659" t="s">
        <v>3</v>
      </c>
      <c r="DE659" t="s">
        <v>3</v>
      </c>
      <c r="DF659" t="s">
        <v>3</v>
      </c>
      <c r="DG659" t="s">
        <v>3</v>
      </c>
      <c r="DH659" t="s">
        <v>3</v>
      </c>
      <c r="DI659" t="s">
        <v>3</v>
      </c>
      <c r="DJ659" t="s">
        <v>3</v>
      </c>
      <c r="DK659" t="s">
        <v>3</v>
      </c>
      <c r="DL659" t="s">
        <v>3</v>
      </c>
      <c r="DM659" t="s">
        <v>3</v>
      </c>
      <c r="DN659">
        <v>0</v>
      </c>
      <c r="DO659">
        <v>0</v>
      </c>
      <c r="DP659">
        <v>1</v>
      </c>
      <c r="DQ659">
        <v>1</v>
      </c>
      <c r="DU659">
        <v>1003</v>
      </c>
      <c r="DV659" t="s">
        <v>26</v>
      </c>
      <c r="DW659" t="s">
        <v>26</v>
      </c>
      <c r="DX659">
        <v>100</v>
      </c>
      <c r="DZ659" t="s">
        <v>3</v>
      </c>
      <c r="EA659" t="s">
        <v>3</v>
      </c>
      <c r="EB659" t="s">
        <v>3</v>
      </c>
      <c r="EC659" t="s">
        <v>3</v>
      </c>
      <c r="EE659">
        <v>1441815344</v>
      </c>
      <c r="EF659">
        <v>1</v>
      </c>
      <c r="EG659" t="s">
        <v>21</v>
      </c>
      <c r="EH659">
        <v>0</v>
      </c>
      <c r="EI659" t="s">
        <v>3</v>
      </c>
      <c r="EJ659">
        <v>4</v>
      </c>
      <c r="EK659">
        <v>0</v>
      </c>
      <c r="EL659" t="s">
        <v>22</v>
      </c>
      <c r="EM659" t="s">
        <v>23</v>
      </c>
      <c r="EO659" t="s">
        <v>3</v>
      </c>
      <c r="EQ659">
        <v>0</v>
      </c>
      <c r="ER659">
        <v>6020.87</v>
      </c>
      <c r="ES659">
        <v>14.63</v>
      </c>
      <c r="ET659">
        <v>0</v>
      </c>
      <c r="EU659">
        <v>0</v>
      </c>
      <c r="EV659">
        <v>6006.24</v>
      </c>
      <c r="EW659">
        <v>11.22</v>
      </c>
      <c r="EX659">
        <v>0</v>
      </c>
      <c r="EY659">
        <v>0</v>
      </c>
      <c r="FQ659">
        <v>0</v>
      </c>
      <c r="FR659">
        <f t="shared" si="404"/>
        <v>0</v>
      </c>
      <c r="FS659">
        <v>0</v>
      </c>
      <c r="FX659">
        <v>70</v>
      </c>
      <c r="FY659">
        <v>10</v>
      </c>
      <c r="GA659" t="s">
        <v>3</v>
      </c>
      <c r="GD659">
        <v>0</v>
      </c>
      <c r="GF659">
        <v>506775621</v>
      </c>
      <c r="GG659">
        <v>2</v>
      </c>
      <c r="GH659">
        <v>1</v>
      </c>
      <c r="GI659">
        <v>-2</v>
      </c>
      <c r="GJ659">
        <v>0</v>
      </c>
      <c r="GK659">
        <f>ROUND(R659*(R12)/100,2)</f>
        <v>0</v>
      </c>
      <c r="GL659">
        <f t="shared" si="405"/>
        <v>0</v>
      </c>
      <c r="GM659">
        <f t="shared" si="406"/>
        <v>368.08</v>
      </c>
      <c r="GN659">
        <f t="shared" si="407"/>
        <v>0</v>
      </c>
      <c r="GO659">
        <f t="shared" si="408"/>
        <v>0</v>
      </c>
      <c r="GP659">
        <f t="shared" si="409"/>
        <v>368.08</v>
      </c>
      <c r="GR659">
        <v>0</v>
      </c>
      <c r="GS659">
        <v>3</v>
      </c>
      <c r="GT659">
        <v>0</v>
      </c>
      <c r="GU659" t="s">
        <v>3</v>
      </c>
      <c r="GV659">
        <f t="shared" si="410"/>
        <v>0</v>
      </c>
      <c r="GW659">
        <v>1</v>
      </c>
      <c r="GX659">
        <f t="shared" si="411"/>
        <v>0</v>
      </c>
      <c r="HA659">
        <v>0</v>
      </c>
      <c r="HB659">
        <v>0</v>
      </c>
      <c r="HC659">
        <f t="shared" si="412"/>
        <v>0</v>
      </c>
      <c r="HE659" t="s">
        <v>3</v>
      </c>
      <c r="HF659" t="s">
        <v>3</v>
      </c>
      <c r="HM659" t="s">
        <v>3</v>
      </c>
      <c r="HN659" t="s">
        <v>3</v>
      </c>
      <c r="HO659" t="s">
        <v>3</v>
      </c>
      <c r="HP659" t="s">
        <v>3</v>
      </c>
      <c r="HQ659" t="s">
        <v>3</v>
      </c>
      <c r="IK659">
        <v>0</v>
      </c>
    </row>
    <row r="660" spans="1:245" x14ac:dyDescent="0.2">
      <c r="A660">
        <v>17</v>
      </c>
      <c r="B660">
        <v>1</v>
      </c>
      <c r="D660">
        <f>ROW(EtalonRes!A249)</f>
        <v>249</v>
      </c>
      <c r="E660" t="s">
        <v>3</v>
      </c>
      <c r="F660" t="s">
        <v>344</v>
      </c>
      <c r="G660" t="s">
        <v>349</v>
      </c>
      <c r="H660" t="s">
        <v>26</v>
      </c>
      <c r="I660">
        <f>ROUND(ROUND((10+140+20)*0.1/100,9),9)</f>
        <v>0.17</v>
      </c>
      <c r="J660">
        <v>0</v>
      </c>
      <c r="K660">
        <f>ROUND(ROUND((10+140+20)*0.1/100,9),9)</f>
        <v>0.17</v>
      </c>
      <c r="O660">
        <f t="shared" si="373"/>
        <v>34.64</v>
      </c>
      <c r="P660">
        <f t="shared" si="374"/>
        <v>0.06</v>
      </c>
      <c r="Q660">
        <f t="shared" si="375"/>
        <v>0</v>
      </c>
      <c r="R660">
        <f t="shared" si="376"/>
        <v>0</v>
      </c>
      <c r="S660">
        <f t="shared" si="377"/>
        <v>34.58</v>
      </c>
      <c r="T660">
        <f t="shared" si="378"/>
        <v>0</v>
      </c>
      <c r="U660">
        <f t="shared" si="379"/>
        <v>6.4600000000000005E-2</v>
      </c>
      <c r="V660">
        <f t="shared" si="380"/>
        <v>0</v>
      </c>
      <c r="W660">
        <f t="shared" si="381"/>
        <v>0</v>
      </c>
      <c r="X660">
        <f t="shared" si="382"/>
        <v>24.21</v>
      </c>
      <c r="Y660">
        <f t="shared" si="383"/>
        <v>3.46</v>
      </c>
      <c r="AA660">
        <v>-1</v>
      </c>
      <c r="AB660">
        <f t="shared" si="384"/>
        <v>203.8</v>
      </c>
      <c r="AC660">
        <f t="shared" si="385"/>
        <v>0.38</v>
      </c>
      <c r="AD660">
        <f t="shared" si="386"/>
        <v>0</v>
      </c>
      <c r="AE660">
        <f t="shared" si="387"/>
        <v>0</v>
      </c>
      <c r="AF660">
        <f t="shared" si="388"/>
        <v>203.42</v>
      </c>
      <c r="AG660">
        <f t="shared" si="389"/>
        <v>0</v>
      </c>
      <c r="AH660">
        <f t="shared" si="390"/>
        <v>0.38</v>
      </c>
      <c r="AI660">
        <f t="shared" si="391"/>
        <v>0</v>
      </c>
      <c r="AJ660">
        <f t="shared" si="392"/>
        <v>0</v>
      </c>
      <c r="AK660">
        <v>203.8</v>
      </c>
      <c r="AL660">
        <v>0.38</v>
      </c>
      <c r="AM660">
        <v>0</v>
      </c>
      <c r="AN660">
        <v>0</v>
      </c>
      <c r="AO660">
        <v>203.42</v>
      </c>
      <c r="AP660">
        <v>0</v>
      </c>
      <c r="AQ660">
        <v>0.38</v>
      </c>
      <c r="AR660">
        <v>0</v>
      </c>
      <c r="AS660">
        <v>0</v>
      </c>
      <c r="AT660">
        <v>70</v>
      </c>
      <c r="AU660">
        <v>10</v>
      </c>
      <c r="AV660">
        <v>1</v>
      </c>
      <c r="AW660">
        <v>1</v>
      </c>
      <c r="AZ660">
        <v>1</v>
      </c>
      <c r="BA660">
        <v>1</v>
      </c>
      <c r="BB660">
        <v>1</v>
      </c>
      <c r="BC660">
        <v>1</v>
      </c>
      <c r="BD660" t="s">
        <v>3</v>
      </c>
      <c r="BE660" t="s">
        <v>3</v>
      </c>
      <c r="BF660" t="s">
        <v>3</v>
      </c>
      <c r="BG660" t="s">
        <v>3</v>
      </c>
      <c r="BH660">
        <v>0</v>
      </c>
      <c r="BI660">
        <v>4</v>
      </c>
      <c r="BJ660" t="s">
        <v>346</v>
      </c>
      <c r="BM660">
        <v>0</v>
      </c>
      <c r="BN660">
        <v>0</v>
      </c>
      <c r="BO660" t="s">
        <v>3</v>
      </c>
      <c r="BP660">
        <v>0</v>
      </c>
      <c r="BQ660">
        <v>1</v>
      </c>
      <c r="BR660">
        <v>0</v>
      </c>
      <c r="BS660">
        <v>1</v>
      </c>
      <c r="BT660">
        <v>1</v>
      </c>
      <c r="BU660">
        <v>1</v>
      </c>
      <c r="BV660">
        <v>1</v>
      </c>
      <c r="BW660">
        <v>1</v>
      </c>
      <c r="BX660">
        <v>1</v>
      </c>
      <c r="BY660" t="s">
        <v>3</v>
      </c>
      <c r="BZ660">
        <v>70</v>
      </c>
      <c r="CA660">
        <v>10</v>
      </c>
      <c r="CB660" t="s">
        <v>3</v>
      </c>
      <c r="CE660">
        <v>0</v>
      </c>
      <c r="CF660">
        <v>0</v>
      </c>
      <c r="CG660">
        <v>0</v>
      </c>
      <c r="CM660">
        <v>0</v>
      </c>
      <c r="CN660" t="s">
        <v>3</v>
      </c>
      <c r="CO660">
        <v>0</v>
      </c>
      <c r="CP660">
        <f t="shared" si="393"/>
        <v>34.64</v>
      </c>
      <c r="CQ660">
        <f t="shared" si="394"/>
        <v>0.38</v>
      </c>
      <c r="CR660">
        <f t="shared" si="395"/>
        <v>0</v>
      </c>
      <c r="CS660">
        <f t="shared" si="396"/>
        <v>0</v>
      </c>
      <c r="CT660">
        <f t="shared" si="397"/>
        <v>203.42</v>
      </c>
      <c r="CU660">
        <f t="shared" si="398"/>
        <v>0</v>
      </c>
      <c r="CV660">
        <f t="shared" si="399"/>
        <v>0.38</v>
      </c>
      <c r="CW660">
        <f t="shared" si="400"/>
        <v>0</v>
      </c>
      <c r="CX660">
        <f t="shared" si="401"/>
        <v>0</v>
      </c>
      <c r="CY660">
        <f t="shared" si="402"/>
        <v>24.206</v>
      </c>
      <c r="CZ660">
        <f t="shared" si="403"/>
        <v>3.4579999999999997</v>
      </c>
      <c r="DC660" t="s">
        <v>3</v>
      </c>
      <c r="DD660" t="s">
        <v>3</v>
      </c>
      <c r="DE660" t="s">
        <v>3</v>
      </c>
      <c r="DF660" t="s">
        <v>3</v>
      </c>
      <c r="DG660" t="s">
        <v>3</v>
      </c>
      <c r="DH660" t="s">
        <v>3</v>
      </c>
      <c r="DI660" t="s">
        <v>3</v>
      </c>
      <c r="DJ660" t="s">
        <v>3</v>
      </c>
      <c r="DK660" t="s">
        <v>3</v>
      </c>
      <c r="DL660" t="s">
        <v>3</v>
      </c>
      <c r="DM660" t="s">
        <v>3</v>
      </c>
      <c r="DN660">
        <v>0</v>
      </c>
      <c r="DO660">
        <v>0</v>
      </c>
      <c r="DP660">
        <v>1</v>
      </c>
      <c r="DQ660">
        <v>1</v>
      </c>
      <c r="DU660">
        <v>1003</v>
      </c>
      <c r="DV660" t="s">
        <v>26</v>
      </c>
      <c r="DW660" t="s">
        <v>26</v>
      </c>
      <c r="DX660">
        <v>100</v>
      </c>
      <c r="DZ660" t="s">
        <v>3</v>
      </c>
      <c r="EA660" t="s">
        <v>3</v>
      </c>
      <c r="EB660" t="s">
        <v>3</v>
      </c>
      <c r="EC660" t="s">
        <v>3</v>
      </c>
      <c r="EE660">
        <v>1441815344</v>
      </c>
      <c r="EF660">
        <v>1</v>
      </c>
      <c r="EG660" t="s">
        <v>21</v>
      </c>
      <c r="EH660">
        <v>0</v>
      </c>
      <c r="EI660" t="s">
        <v>3</v>
      </c>
      <c r="EJ660">
        <v>4</v>
      </c>
      <c r="EK660">
        <v>0</v>
      </c>
      <c r="EL660" t="s">
        <v>22</v>
      </c>
      <c r="EM660" t="s">
        <v>23</v>
      </c>
      <c r="EO660" t="s">
        <v>3</v>
      </c>
      <c r="EQ660">
        <v>1024</v>
      </c>
      <c r="ER660">
        <v>203.8</v>
      </c>
      <c r="ES660">
        <v>0.38</v>
      </c>
      <c r="ET660">
        <v>0</v>
      </c>
      <c r="EU660">
        <v>0</v>
      </c>
      <c r="EV660">
        <v>203.42</v>
      </c>
      <c r="EW660">
        <v>0.38</v>
      </c>
      <c r="EX660">
        <v>0</v>
      </c>
      <c r="EY660">
        <v>0</v>
      </c>
      <c r="FQ660">
        <v>0</v>
      </c>
      <c r="FR660">
        <f t="shared" si="404"/>
        <v>0</v>
      </c>
      <c r="FS660">
        <v>0</v>
      </c>
      <c r="FX660">
        <v>70</v>
      </c>
      <c r="FY660">
        <v>10</v>
      </c>
      <c r="GA660" t="s">
        <v>3</v>
      </c>
      <c r="GD660">
        <v>0</v>
      </c>
      <c r="GF660">
        <v>-706526074</v>
      </c>
      <c r="GG660">
        <v>2</v>
      </c>
      <c r="GH660">
        <v>1</v>
      </c>
      <c r="GI660">
        <v>-2</v>
      </c>
      <c r="GJ660">
        <v>0</v>
      </c>
      <c r="GK660">
        <f>ROUND(R660*(R12)/100,2)</f>
        <v>0</v>
      </c>
      <c r="GL660">
        <f t="shared" si="405"/>
        <v>0</v>
      </c>
      <c r="GM660">
        <f t="shared" si="406"/>
        <v>62.31</v>
      </c>
      <c r="GN660">
        <f t="shared" si="407"/>
        <v>0</v>
      </c>
      <c r="GO660">
        <f t="shared" si="408"/>
        <v>0</v>
      </c>
      <c r="GP660">
        <f t="shared" si="409"/>
        <v>62.31</v>
      </c>
      <c r="GR660">
        <v>0</v>
      </c>
      <c r="GS660">
        <v>3</v>
      </c>
      <c r="GT660">
        <v>0</v>
      </c>
      <c r="GU660" t="s">
        <v>3</v>
      </c>
      <c r="GV660">
        <f t="shared" si="410"/>
        <v>0</v>
      </c>
      <c r="GW660">
        <v>1</v>
      </c>
      <c r="GX660">
        <f t="shared" si="411"/>
        <v>0</v>
      </c>
      <c r="HA660">
        <v>0</v>
      </c>
      <c r="HB660">
        <v>0</v>
      </c>
      <c r="HC660">
        <f t="shared" si="412"/>
        <v>0</v>
      </c>
      <c r="HE660" t="s">
        <v>3</v>
      </c>
      <c r="HF660" t="s">
        <v>3</v>
      </c>
      <c r="HM660" t="s">
        <v>3</v>
      </c>
      <c r="HN660" t="s">
        <v>3</v>
      </c>
      <c r="HO660" t="s">
        <v>3</v>
      </c>
      <c r="HP660" t="s">
        <v>3</v>
      </c>
      <c r="HQ660" t="s">
        <v>3</v>
      </c>
      <c r="IK660">
        <v>0</v>
      </c>
    </row>
    <row r="661" spans="1:245" x14ac:dyDescent="0.2">
      <c r="A661">
        <v>17</v>
      </c>
      <c r="B661">
        <v>1</v>
      </c>
      <c r="D661">
        <f>ROW(EtalonRes!A251)</f>
        <v>251</v>
      </c>
      <c r="E661" t="s">
        <v>350</v>
      </c>
      <c r="F661" t="s">
        <v>351</v>
      </c>
      <c r="G661" t="s">
        <v>352</v>
      </c>
      <c r="H661" t="s">
        <v>26</v>
      </c>
      <c r="I661">
        <f>ROUND(ROUND((200)*0.2*0.1/100,9),9)</f>
        <v>0.04</v>
      </c>
      <c r="J661">
        <v>0</v>
      </c>
      <c r="K661">
        <f>ROUND(ROUND((200)*0.2*0.1/100,9),9)</f>
        <v>0.04</v>
      </c>
      <c r="O661">
        <f t="shared" si="373"/>
        <v>255.01</v>
      </c>
      <c r="P661">
        <f t="shared" si="374"/>
        <v>0.63</v>
      </c>
      <c r="Q661">
        <f t="shared" si="375"/>
        <v>0</v>
      </c>
      <c r="R661">
        <f t="shared" si="376"/>
        <v>0</v>
      </c>
      <c r="S661">
        <f t="shared" si="377"/>
        <v>254.38</v>
      </c>
      <c r="T661">
        <f t="shared" si="378"/>
        <v>0</v>
      </c>
      <c r="U661">
        <f t="shared" si="379"/>
        <v>0.47520000000000007</v>
      </c>
      <c r="V661">
        <f t="shared" si="380"/>
        <v>0</v>
      </c>
      <c r="W661">
        <f t="shared" si="381"/>
        <v>0</v>
      </c>
      <c r="X661">
        <f t="shared" si="382"/>
        <v>178.07</v>
      </c>
      <c r="Y661">
        <f t="shared" si="383"/>
        <v>25.44</v>
      </c>
      <c r="AA661">
        <v>1473080740</v>
      </c>
      <c r="AB661">
        <f t="shared" si="384"/>
        <v>6375.3</v>
      </c>
      <c r="AC661">
        <f t="shared" si="385"/>
        <v>15.76</v>
      </c>
      <c r="AD661">
        <f t="shared" si="386"/>
        <v>0</v>
      </c>
      <c r="AE661">
        <f t="shared" si="387"/>
        <v>0</v>
      </c>
      <c r="AF661">
        <f t="shared" si="388"/>
        <v>6359.54</v>
      </c>
      <c r="AG661">
        <f t="shared" si="389"/>
        <v>0</v>
      </c>
      <c r="AH661">
        <f t="shared" si="390"/>
        <v>11.88</v>
      </c>
      <c r="AI661">
        <f t="shared" si="391"/>
        <v>0</v>
      </c>
      <c r="AJ661">
        <f t="shared" si="392"/>
        <v>0</v>
      </c>
      <c r="AK661">
        <v>6375.3</v>
      </c>
      <c r="AL661">
        <v>15.76</v>
      </c>
      <c r="AM661">
        <v>0</v>
      </c>
      <c r="AN661">
        <v>0</v>
      </c>
      <c r="AO661">
        <v>6359.54</v>
      </c>
      <c r="AP661">
        <v>0</v>
      </c>
      <c r="AQ661">
        <v>11.88</v>
      </c>
      <c r="AR661">
        <v>0</v>
      </c>
      <c r="AS661">
        <v>0</v>
      </c>
      <c r="AT661">
        <v>70</v>
      </c>
      <c r="AU661">
        <v>10</v>
      </c>
      <c r="AV661">
        <v>1</v>
      </c>
      <c r="AW661">
        <v>1</v>
      </c>
      <c r="AZ661">
        <v>1</v>
      </c>
      <c r="BA661">
        <v>1</v>
      </c>
      <c r="BB661">
        <v>1</v>
      </c>
      <c r="BC661">
        <v>1</v>
      </c>
      <c r="BD661" t="s">
        <v>3</v>
      </c>
      <c r="BE661" t="s">
        <v>3</v>
      </c>
      <c r="BF661" t="s">
        <v>3</v>
      </c>
      <c r="BG661" t="s">
        <v>3</v>
      </c>
      <c r="BH661">
        <v>0</v>
      </c>
      <c r="BI661">
        <v>4</v>
      </c>
      <c r="BJ661" t="s">
        <v>353</v>
      </c>
      <c r="BM661">
        <v>0</v>
      </c>
      <c r="BN661">
        <v>0</v>
      </c>
      <c r="BO661" t="s">
        <v>3</v>
      </c>
      <c r="BP661">
        <v>0</v>
      </c>
      <c r="BQ661">
        <v>1</v>
      </c>
      <c r="BR661">
        <v>0</v>
      </c>
      <c r="BS661">
        <v>1</v>
      </c>
      <c r="BT661">
        <v>1</v>
      </c>
      <c r="BU661">
        <v>1</v>
      </c>
      <c r="BV661">
        <v>1</v>
      </c>
      <c r="BW661">
        <v>1</v>
      </c>
      <c r="BX661">
        <v>1</v>
      </c>
      <c r="BY661" t="s">
        <v>3</v>
      </c>
      <c r="BZ661">
        <v>70</v>
      </c>
      <c r="CA661">
        <v>10</v>
      </c>
      <c r="CB661" t="s">
        <v>3</v>
      </c>
      <c r="CE661">
        <v>0</v>
      </c>
      <c r="CF661">
        <v>0</v>
      </c>
      <c r="CG661">
        <v>0</v>
      </c>
      <c r="CM661">
        <v>0</v>
      </c>
      <c r="CN661" t="s">
        <v>3</v>
      </c>
      <c r="CO661">
        <v>0</v>
      </c>
      <c r="CP661">
        <f t="shared" si="393"/>
        <v>255.01</v>
      </c>
      <c r="CQ661">
        <f t="shared" si="394"/>
        <v>15.76</v>
      </c>
      <c r="CR661">
        <f t="shared" si="395"/>
        <v>0</v>
      </c>
      <c r="CS661">
        <f t="shared" si="396"/>
        <v>0</v>
      </c>
      <c r="CT661">
        <f t="shared" si="397"/>
        <v>6359.54</v>
      </c>
      <c r="CU661">
        <f t="shared" si="398"/>
        <v>0</v>
      </c>
      <c r="CV661">
        <f t="shared" si="399"/>
        <v>11.88</v>
      </c>
      <c r="CW661">
        <f t="shared" si="400"/>
        <v>0</v>
      </c>
      <c r="CX661">
        <f t="shared" si="401"/>
        <v>0</v>
      </c>
      <c r="CY661">
        <f t="shared" si="402"/>
        <v>178.06599999999997</v>
      </c>
      <c r="CZ661">
        <f t="shared" si="403"/>
        <v>25.438000000000002</v>
      </c>
      <c r="DC661" t="s">
        <v>3</v>
      </c>
      <c r="DD661" t="s">
        <v>3</v>
      </c>
      <c r="DE661" t="s">
        <v>3</v>
      </c>
      <c r="DF661" t="s">
        <v>3</v>
      </c>
      <c r="DG661" t="s">
        <v>3</v>
      </c>
      <c r="DH661" t="s">
        <v>3</v>
      </c>
      <c r="DI661" t="s">
        <v>3</v>
      </c>
      <c r="DJ661" t="s">
        <v>3</v>
      </c>
      <c r="DK661" t="s">
        <v>3</v>
      </c>
      <c r="DL661" t="s">
        <v>3</v>
      </c>
      <c r="DM661" t="s">
        <v>3</v>
      </c>
      <c r="DN661">
        <v>0</v>
      </c>
      <c r="DO661">
        <v>0</v>
      </c>
      <c r="DP661">
        <v>1</v>
      </c>
      <c r="DQ661">
        <v>1</v>
      </c>
      <c r="DU661">
        <v>1003</v>
      </c>
      <c r="DV661" t="s">
        <v>26</v>
      </c>
      <c r="DW661" t="s">
        <v>26</v>
      </c>
      <c r="DX661">
        <v>100</v>
      </c>
      <c r="DZ661" t="s">
        <v>3</v>
      </c>
      <c r="EA661" t="s">
        <v>3</v>
      </c>
      <c r="EB661" t="s">
        <v>3</v>
      </c>
      <c r="EC661" t="s">
        <v>3</v>
      </c>
      <c r="EE661">
        <v>1441815344</v>
      </c>
      <c r="EF661">
        <v>1</v>
      </c>
      <c r="EG661" t="s">
        <v>21</v>
      </c>
      <c r="EH661">
        <v>0</v>
      </c>
      <c r="EI661" t="s">
        <v>3</v>
      </c>
      <c r="EJ661">
        <v>4</v>
      </c>
      <c r="EK661">
        <v>0</v>
      </c>
      <c r="EL661" t="s">
        <v>22</v>
      </c>
      <c r="EM661" t="s">
        <v>23</v>
      </c>
      <c r="EO661" t="s">
        <v>3</v>
      </c>
      <c r="EQ661">
        <v>0</v>
      </c>
      <c r="ER661">
        <v>6375.3</v>
      </c>
      <c r="ES661">
        <v>15.76</v>
      </c>
      <c r="ET661">
        <v>0</v>
      </c>
      <c r="EU661">
        <v>0</v>
      </c>
      <c r="EV661">
        <v>6359.54</v>
      </c>
      <c r="EW661">
        <v>11.88</v>
      </c>
      <c r="EX661">
        <v>0</v>
      </c>
      <c r="EY661">
        <v>0</v>
      </c>
      <c r="FQ661">
        <v>0</v>
      </c>
      <c r="FR661">
        <f t="shared" si="404"/>
        <v>0</v>
      </c>
      <c r="FS661">
        <v>0</v>
      </c>
      <c r="FX661">
        <v>70</v>
      </c>
      <c r="FY661">
        <v>10</v>
      </c>
      <c r="GA661" t="s">
        <v>3</v>
      </c>
      <c r="GD661">
        <v>0</v>
      </c>
      <c r="GF661">
        <v>387902255</v>
      </c>
      <c r="GG661">
        <v>2</v>
      </c>
      <c r="GH661">
        <v>1</v>
      </c>
      <c r="GI661">
        <v>-2</v>
      </c>
      <c r="GJ661">
        <v>0</v>
      </c>
      <c r="GK661">
        <f>ROUND(R661*(R12)/100,2)</f>
        <v>0</v>
      </c>
      <c r="GL661">
        <f t="shared" si="405"/>
        <v>0</v>
      </c>
      <c r="GM661">
        <f t="shared" si="406"/>
        <v>458.52</v>
      </c>
      <c r="GN661">
        <f t="shared" si="407"/>
        <v>0</v>
      </c>
      <c r="GO661">
        <f t="shared" si="408"/>
        <v>0</v>
      </c>
      <c r="GP661">
        <f t="shared" si="409"/>
        <v>458.52</v>
      </c>
      <c r="GR661">
        <v>0</v>
      </c>
      <c r="GS661">
        <v>3</v>
      </c>
      <c r="GT661">
        <v>0</v>
      </c>
      <c r="GU661" t="s">
        <v>3</v>
      </c>
      <c r="GV661">
        <f t="shared" si="410"/>
        <v>0</v>
      </c>
      <c r="GW661">
        <v>1</v>
      </c>
      <c r="GX661">
        <f t="shared" si="411"/>
        <v>0</v>
      </c>
      <c r="HA661">
        <v>0</v>
      </c>
      <c r="HB661">
        <v>0</v>
      </c>
      <c r="HC661">
        <f t="shared" si="412"/>
        <v>0</v>
      </c>
      <c r="HE661" t="s">
        <v>3</v>
      </c>
      <c r="HF661" t="s">
        <v>3</v>
      </c>
      <c r="HM661" t="s">
        <v>3</v>
      </c>
      <c r="HN661" t="s">
        <v>3</v>
      </c>
      <c r="HO661" t="s">
        <v>3</v>
      </c>
      <c r="HP661" t="s">
        <v>3</v>
      </c>
      <c r="HQ661" t="s">
        <v>3</v>
      </c>
      <c r="IK661">
        <v>0</v>
      </c>
    </row>
    <row r="662" spans="1:245" x14ac:dyDescent="0.2">
      <c r="A662">
        <v>17</v>
      </c>
      <c r="B662">
        <v>1</v>
      </c>
      <c r="D662">
        <f>ROW(EtalonRes!A253)</f>
        <v>253</v>
      </c>
      <c r="E662" t="s">
        <v>3</v>
      </c>
      <c r="F662" t="s">
        <v>354</v>
      </c>
      <c r="G662" t="s">
        <v>355</v>
      </c>
      <c r="H662" t="s">
        <v>26</v>
      </c>
      <c r="I662">
        <f>ROUND(ROUND((200)*0.1/100,9),9)</f>
        <v>0.2</v>
      </c>
      <c r="J662">
        <v>0</v>
      </c>
      <c r="K662">
        <f>ROUND(ROUND((200)*0.1/100,9),9)</f>
        <v>0.2</v>
      </c>
      <c r="O662">
        <f t="shared" si="373"/>
        <v>42.91</v>
      </c>
      <c r="P662">
        <f t="shared" si="374"/>
        <v>0.08</v>
      </c>
      <c r="Q662">
        <f t="shared" si="375"/>
        <v>0</v>
      </c>
      <c r="R662">
        <f t="shared" si="376"/>
        <v>0</v>
      </c>
      <c r="S662">
        <f t="shared" si="377"/>
        <v>42.83</v>
      </c>
      <c r="T662">
        <f t="shared" si="378"/>
        <v>0</v>
      </c>
      <c r="U662">
        <f t="shared" si="379"/>
        <v>8.0000000000000016E-2</v>
      </c>
      <c r="V662">
        <f t="shared" si="380"/>
        <v>0</v>
      </c>
      <c r="W662">
        <f t="shared" si="381"/>
        <v>0</v>
      </c>
      <c r="X662">
        <f t="shared" si="382"/>
        <v>29.98</v>
      </c>
      <c r="Y662">
        <f t="shared" si="383"/>
        <v>4.28</v>
      </c>
      <c r="AA662">
        <v>-1</v>
      </c>
      <c r="AB662">
        <f t="shared" si="384"/>
        <v>214.51</v>
      </c>
      <c r="AC662">
        <f t="shared" si="385"/>
        <v>0.38</v>
      </c>
      <c r="AD662">
        <f t="shared" si="386"/>
        <v>0</v>
      </c>
      <c r="AE662">
        <f t="shared" si="387"/>
        <v>0</v>
      </c>
      <c r="AF662">
        <f t="shared" si="388"/>
        <v>214.13</v>
      </c>
      <c r="AG662">
        <f t="shared" si="389"/>
        <v>0</v>
      </c>
      <c r="AH662">
        <f t="shared" si="390"/>
        <v>0.4</v>
      </c>
      <c r="AI662">
        <f t="shared" si="391"/>
        <v>0</v>
      </c>
      <c r="AJ662">
        <f t="shared" si="392"/>
        <v>0</v>
      </c>
      <c r="AK662">
        <v>214.51</v>
      </c>
      <c r="AL662">
        <v>0.38</v>
      </c>
      <c r="AM662">
        <v>0</v>
      </c>
      <c r="AN662">
        <v>0</v>
      </c>
      <c r="AO662">
        <v>214.13</v>
      </c>
      <c r="AP662">
        <v>0</v>
      </c>
      <c r="AQ662">
        <v>0.4</v>
      </c>
      <c r="AR662">
        <v>0</v>
      </c>
      <c r="AS662">
        <v>0</v>
      </c>
      <c r="AT662">
        <v>70</v>
      </c>
      <c r="AU662">
        <v>10</v>
      </c>
      <c r="AV662">
        <v>1</v>
      </c>
      <c r="AW662">
        <v>1</v>
      </c>
      <c r="AZ662">
        <v>1</v>
      </c>
      <c r="BA662">
        <v>1</v>
      </c>
      <c r="BB662">
        <v>1</v>
      </c>
      <c r="BC662">
        <v>1</v>
      </c>
      <c r="BD662" t="s">
        <v>3</v>
      </c>
      <c r="BE662" t="s">
        <v>3</v>
      </c>
      <c r="BF662" t="s">
        <v>3</v>
      </c>
      <c r="BG662" t="s">
        <v>3</v>
      </c>
      <c r="BH662">
        <v>0</v>
      </c>
      <c r="BI662">
        <v>4</v>
      </c>
      <c r="BJ662" t="s">
        <v>356</v>
      </c>
      <c r="BM662">
        <v>0</v>
      </c>
      <c r="BN662">
        <v>0</v>
      </c>
      <c r="BO662" t="s">
        <v>3</v>
      </c>
      <c r="BP662">
        <v>0</v>
      </c>
      <c r="BQ662">
        <v>1</v>
      </c>
      <c r="BR662">
        <v>0</v>
      </c>
      <c r="BS662">
        <v>1</v>
      </c>
      <c r="BT662">
        <v>1</v>
      </c>
      <c r="BU662">
        <v>1</v>
      </c>
      <c r="BV662">
        <v>1</v>
      </c>
      <c r="BW662">
        <v>1</v>
      </c>
      <c r="BX662">
        <v>1</v>
      </c>
      <c r="BY662" t="s">
        <v>3</v>
      </c>
      <c r="BZ662">
        <v>70</v>
      </c>
      <c r="CA662">
        <v>10</v>
      </c>
      <c r="CB662" t="s">
        <v>3</v>
      </c>
      <c r="CE662">
        <v>0</v>
      </c>
      <c r="CF662">
        <v>0</v>
      </c>
      <c r="CG662">
        <v>0</v>
      </c>
      <c r="CM662">
        <v>0</v>
      </c>
      <c r="CN662" t="s">
        <v>3</v>
      </c>
      <c r="CO662">
        <v>0</v>
      </c>
      <c r="CP662">
        <f t="shared" si="393"/>
        <v>42.91</v>
      </c>
      <c r="CQ662">
        <f t="shared" si="394"/>
        <v>0.38</v>
      </c>
      <c r="CR662">
        <f t="shared" si="395"/>
        <v>0</v>
      </c>
      <c r="CS662">
        <f t="shared" si="396"/>
        <v>0</v>
      </c>
      <c r="CT662">
        <f t="shared" si="397"/>
        <v>214.13</v>
      </c>
      <c r="CU662">
        <f t="shared" si="398"/>
        <v>0</v>
      </c>
      <c r="CV662">
        <f t="shared" si="399"/>
        <v>0.4</v>
      </c>
      <c r="CW662">
        <f t="shared" si="400"/>
        <v>0</v>
      </c>
      <c r="CX662">
        <f t="shared" si="401"/>
        <v>0</v>
      </c>
      <c r="CY662">
        <f t="shared" si="402"/>
        <v>29.980999999999998</v>
      </c>
      <c r="CZ662">
        <f t="shared" si="403"/>
        <v>4.2829999999999995</v>
      </c>
      <c r="DC662" t="s">
        <v>3</v>
      </c>
      <c r="DD662" t="s">
        <v>3</v>
      </c>
      <c r="DE662" t="s">
        <v>3</v>
      </c>
      <c r="DF662" t="s">
        <v>3</v>
      </c>
      <c r="DG662" t="s">
        <v>3</v>
      </c>
      <c r="DH662" t="s">
        <v>3</v>
      </c>
      <c r="DI662" t="s">
        <v>3</v>
      </c>
      <c r="DJ662" t="s">
        <v>3</v>
      </c>
      <c r="DK662" t="s">
        <v>3</v>
      </c>
      <c r="DL662" t="s">
        <v>3</v>
      </c>
      <c r="DM662" t="s">
        <v>3</v>
      </c>
      <c r="DN662">
        <v>0</v>
      </c>
      <c r="DO662">
        <v>0</v>
      </c>
      <c r="DP662">
        <v>1</v>
      </c>
      <c r="DQ662">
        <v>1</v>
      </c>
      <c r="DU662">
        <v>1003</v>
      </c>
      <c r="DV662" t="s">
        <v>26</v>
      </c>
      <c r="DW662" t="s">
        <v>26</v>
      </c>
      <c r="DX662">
        <v>100</v>
      </c>
      <c r="DZ662" t="s">
        <v>3</v>
      </c>
      <c r="EA662" t="s">
        <v>3</v>
      </c>
      <c r="EB662" t="s">
        <v>3</v>
      </c>
      <c r="EC662" t="s">
        <v>3</v>
      </c>
      <c r="EE662">
        <v>1441815344</v>
      </c>
      <c r="EF662">
        <v>1</v>
      </c>
      <c r="EG662" t="s">
        <v>21</v>
      </c>
      <c r="EH662">
        <v>0</v>
      </c>
      <c r="EI662" t="s">
        <v>3</v>
      </c>
      <c r="EJ662">
        <v>4</v>
      </c>
      <c r="EK662">
        <v>0</v>
      </c>
      <c r="EL662" t="s">
        <v>22</v>
      </c>
      <c r="EM662" t="s">
        <v>23</v>
      </c>
      <c r="EO662" t="s">
        <v>3</v>
      </c>
      <c r="EQ662">
        <v>1024</v>
      </c>
      <c r="ER662">
        <v>214.51</v>
      </c>
      <c r="ES662">
        <v>0.38</v>
      </c>
      <c r="ET662">
        <v>0</v>
      </c>
      <c r="EU662">
        <v>0</v>
      </c>
      <c r="EV662">
        <v>214.13</v>
      </c>
      <c r="EW662">
        <v>0.4</v>
      </c>
      <c r="EX662">
        <v>0</v>
      </c>
      <c r="EY662">
        <v>0</v>
      </c>
      <c r="FQ662">
        <v>0</v>
      </c>
      <c r="FR662">
        <f t="shared" si="404"/>
        <v>0</v>
      </c>
      <c r="FS662">
        <v>0</v>
      </c>
      <c r="FX662">
        <v>70</v>
      </c>
      <c r="FY662">
        <v>10</v>
      </c>
      <c r="GA662" t="s">
        <v>3</v>
      </c>
      <c r="GD662">
        <v>0</v>
      </c>
      <c r="GF662">
        <v>-1340370903</v>
      </c>
      <c r="GG662">
        <v>2</v>
      </c>
      <c r="GH662">
        <v>1</v>
      </c>
      <c r="GI662">
        <v>-2</v>
      </c>
      <c r="GJ662">
        <v>0</v>
      </c>
      <c r="GK662">
        <f>ROUND(R662*(R12)/100,2)</f>
        <v>0</v>
      </c>
      <c r="GL662">
        <f t="shared" si="405"/>
        <v>0</v>
      </c>
      <c r="GM662">
        <f t="shared" si="406"/>
        <v>77.17</v>
      </c>
      <c r="GN662">
        <f t="shared" si="407"/>
        <v>0</v>
      </c>
      <c r="GO662">
        <f t="shared" si="408"/>
        <v>0</v>
      </c>
      <c r="GP662">
        <f t="shared" si="409"/>
        <v>77.17</v>
      </c>
      <c r="GR662">
        <v>0</v>
      </c>
      <c r="GS662">
        <v>3</v>
      </c>
      <c r="GT662">
        <v>0</v>
      </c>
      <c r="GU662" t="s">
        <v>3</v>
      </c>
      <c r="GV662">
        <f t="shared" si="410"/>
        <v>0</v>
      </c>
      <c r="GW662">
        <v>1</v>
      </c>
      <c r="GX662">
        <f t="shared" si="411"/>
        <v>0</v>
      </c>
      <c r="HA662">
        <v>0</v>
      </c>
      <c r="HB662">
        <v>0</v>
      </c>
      <c r="HC662">
        <f t="shared" si="412"/>
        <v>0</v>
      </c>
      <c r="HE662" t="s">
        <v>3</v>
      </c>
      <c r="HF662" t="s">
        <v>3</v>
      </c>
      <c r="HM662" t="s">
        <v>3</v>
      </c>
      <c r="HN662" t="s">
        <v>3</v>
      </c>
      <c r="HO662" t="s">
        <v>3</v>
      </c>
      <c r="HP662" t="s">
        <v>3</v>
      </c>
      <c r="HQ662" t="s">
        <v>3</v>
      </c>
      <c r="IK662">
        <v>0</v>
      </c>
    </row>
    <row r="663" spans="1:245" x14ac:dyDescent="0.2">
      <c r="A663">
        <v>17</v>
      </c>
      <c r="B663">
        <v>1</v>
      </c>
      <c r="D663">
        <f>ROW(EtalonRes!A255)</f>
        <v>255</v>
      </c>
      <c r="E663" t="s">
        <v>357</v>
      </c>
      <c r="F663" t="s">
        <v>358</v>
      </c>
      <c r="G663" t="s">
        <v>359</v>
      </c>
      <c r="H663" t="s">
        <v>26</v>
      </c>
      <c r="I663">
        <f>ROUND(ROUND((130+5)*0.2*0.1/100,9),9)</f>
        <v>2.7E-2</v>
      </c>
      <c r="J663">
        <v>0</v>
      </c>
      <c r="K663">
        <f>ROUND(ROUND((130+5)*0.2*0.1/100,9),9)</f>
        <v>2.7E-2</v>
      </c>
      <c r="O663">
        <f t="shared" si="373"/>
        <v>211.25</v>
      </c>
      <c r="P663">
        <f t="shared" si="374"/>
        <v>0.52</v>
      </c>
      <c r="Q663">
        <f t="shared" si="375"/>
        <v>0</v>
      </c>
      <c r="R663">
        <f t="shared" si="376"/>
        <v>0</v>
      </c>
      <c r="S663">
        <f t="shared" si="377"/>
        <v>210.73</v>
      </c>
      <c r="T663">
        <f t="shared" si="378"/>
        <v>0</v>
      </c>
      <c r="U663">
        <f t="shared" si="379"/>
        <v>0.39366000000000001</v>
      </c>
      <c r="V663">
        <f t="shared" si="380"/>
        <v>0</v>
      </c>
      <c r="W663">
        <f t="shared" si="381"/>
        <v>0</v>
      </c>
      <c r="X663">
        <f t="shared" si="382"/>
        <v>147.51</v>
      </c>
      <c r="Y663">
        <f t="shared" si="383"/>
        <v>21.07</v>
      </c>
      <c r="AA663">
        <v>1473080740</v>
      </c>
      <c r="AB663">
        <f t="shared" si="384"/>
        <v>7824.02</v>
      </c>
      <c r="AC663">
        <f t="shared" si="385"/>
        <v>19.13</v>
      </c>
      <c r="AD663">
        <f t="shared" si="386"/>
        <v>0</v>
      </c>
      <c r="AE663">
        <f t="shared" si="387"/>
        <v>0</v>
      </c>
      <c r="AF663">
        <f t="shared" si="388"/>
        <v>7804.89</v>
      </c>
      <c r="AG663">
        <f t="shared" si="389"/>
        <v>0</v>
      </c>
      <c r="AH663">
        <f t="shared" si="390"/>
        <v>14.58</v>
      </c>
      <c r="AI663">
        <f t="shared" si="391"/>
        <v>0</v>
      </c>
      <c r="AJ663">
        <f t="shared" si="392"/>
        <v>0</v>
      </c>
      <c r="AK663">
        <v>7824.02</v>
      </c>
      <c r="AL663">
        <v>19.13</v>
      </c>
      <c r="AM663">
        <v>0</v>
      </c>
      <c r="AN663">
        <v>0</v>
      </c>
      <c r="AO663">
        <v>7804.89</v>
      </c>
      <c r="AP663">
        <v>0</v>
      </c>
      <c r="AQ663">
        <v>14.58</v>
      </c>
      <c r="AR663">
        <v>0</v>
      </c>
      <c r="AS663">
        <v>0</v>
      </c>
      <c r="AT663">
        <v>70</v>
      </c>
      <c r="AU663">
        <v>10</v>
      </c>
      <c r="AV663">
        <v>1</v>
      </c>
      <c r="AW663">
        <v>1</v>
      </c>
      <c r="AZ663">
        <v>1</v>
      </c>
      <c r="BA663">
        <v>1</v>
      </c>
      <c r="BB663">
        <v>1</v>
      </c>
      <c r="BC663">
        <v>1</v>
      </c>
      <c r="BD663" t="s">
        <v>3</v>
      </c>
      <c r="BE663" t="s">
        <v>3</v>
      </c>
      <c r="BF663" t="s">
        <v>3</v>
      </c>
      <c r="BG663" t="s">
        <v>3</v>
      </c>
      <c r="BH663">
        <v>0</v>
      </c>
      <c r="BI663">
        <v>4</v>
      </c>
      <c r="BJ663" t="s">
        <v>360</v>
      </c>
      <c r="BM663">
        <v>0</v>
      </c>
      <c r="BN663">
        <v>0</v>
      </c>
      <c r="BO663" t="s">
        <v>3</v>
      </c>
      <c r="BP663">
        <v>0</v>
      </c>
      <c r="BQ663">
        <v>1</v>
      </c>
      <c r="BR663">
        <v>0</v>
      </c>
      <c r="BS663">
        <v>1</v>
      </c>
      <c r="BT663">
        <v>1</v>
      </c>
      <c r="BU663">
        <v>1</v>
      </c>
      <c r="BV663">
        <v>1</v>
      </c>
      <c r="BW663">
        <v>1</v>
      </c>
      <c r="BX663">
        <v>1</v>
      </c>
      <c r="BY663" t="s">
        <v>3</v>
      </c>
      <c r="BZ663">
        <v>70</v>
      </c>
      <c r="CA663">
        <v>10</v>
      </c>
      <c r="CB663" t="s">
        <v>3</v>
      </c>
      <c r="CE663">
        <v>0</v>
      </c>
      <c r="CF663">
        <v>0</v>
      </c>
      <c r="CG663">
        <v>0</v>
      </c>
      <c r="CM663">
        <v>0</v>
      </c>
      <c r="CN663" t="s">
        <v>3</v>
      </c>
      <c r="CO663">
        <v>0</v>
      </c>
      <c r="CP663">
        <f t="shared" si="393"/>
        <v>211.25</v>
      </c>
      <c r="CQ663">
        <f t="shared" si="394"/>
        <v>19.13</v>
      </c>
      <c r="CR663">
        <f t="shared" si="395"/>
        <v>0</v>
      </c>
      <c r="CS663">
        <f t="shared" si="396"/>
        <v>0</v>
      </c>
      <c r="CT663">
        <f t="shared" si="397"/>
        <v>7804.89</v>
      </c>
      <c r="CU663">
        <f t="shared" si="398"/>
        <v>0</v>
      </c>
      <c r="CV663">
        <f t="shared" si="399"/>
        <v>14.58</v>
      </c>
      <c r="CW663">
        <f t="shared" si="400"/>
        <v>0</v>
      </c>
      <c r="CX663">
        <f t="shared" si="401"/>
        <v>0</v>
      </c>
      <c r="CY663">
        <f t="shared" si="402"/>
        <v>147.511</v>
      </c>
      <c r="CZ663">
        <f t="shared" si="403"/>
        <v>21.072999999999997</v>
      </c>
      <c r="DC663" t="s">
        <v>3</v>
      </c>
      <c r="DD663" t="s">
        <v>3</v>
      </c>
      <c r="DE663" t="s">
        <v>3</v>
      </c>
      <c r="DF663" t="s">
        <v>3</v>
      </c>
      <c r="DG663" t="s">
        <v>3</v>
      </c>
      <c r="DH663" t="s">
        <v>3</v>
      </c>
      <c r="DI663" t="s">
        <v>3</v>
      </c>
      <c r="DJ663" t="s">
        <v>3</v>
      </c>
      <c r="DK663" t="s">
        <v>3</v>
      </c>
      <c r="DL663" t="s">
        <v>3</v>
      </c>
      <c r="DM663" t="s">
        <v>3</v>
      </c>
      <c r="DN663">
        <v>0</v>
      </c>
      <c r="DO663">
        <v>0</v>
      </c>
      <c r="DP663">
        <v>1</v>
      </c>
      <c r="DQ663">
        <v>1</v>
      </c>
      <c r="DU663">
        <v>1003</v>
      </c>
      <c r="DV663" t="s">
        <v>26</v>
      </c>
      <c r="DW663" t="s">
        <v>26</v>
      </c>
      <c r="DX663">
        <v>100</v>
      </c>
      <c r="DZ663" t="s">
        <v>3</v>
      </c>
      <c r="EA663" t="s">
        <v>3</v>
      </c>
      <c r="EB663" t="s">
        <v>3</v>
      </c>
      <c r="EC663" t="s">
        <v>3</v>
      </c>
      <c r="EE663">
        <v>1441815344</v>
      </c>
      <c r="EF663">
        <v>1</v>
      </c>
      <c r="EG663" t="s">
        <v>21</v>
      </c>
      <c r="EH663">
        <v>0</v>
      </c>
      <c r="EI663" t="s">
        <v>3</v>
      </c>
      <c r="EJ663">
        <v>4</v>
      </c>
      <c r="EK663">
        <v>0</v>
      </c>
      <c r="EL663" t="s">
        <v>22</v>
      </c>
      <c r="EM663" t="s">
        <v>23</v>
      </c>
      <c r="EO663" t="s">
        <v>3</v>
      </c>
      <c r="EQ663">
        <v>0</v>
      </c>
      <c r="ER663">
        <v>7824.02</v>
      </c>
      <c r="ES663">
        <v>19.13</v>
      </c>
      <c r="ET663">
        <v>0</v>
      </c>
      <c r="EU663">
        <v>0</v>
      </c>
      <c r="EV663">
        <v>7804.89</v>
      </c>
      <c r="EW663">
        <v>14.58</v>
      </c>
      <c r="EX663">
        <v>0</v>
      </c>
      <c r="EY663">
        <v>0</v>
      </c>
      <c r="FQ663">
        <v>0</v>
      </c>
      <c r="FR663">
        <f t="shared" si="404"/>
        <v>0</v>
      </c>
      <c r="FS663">
        <v>0</v>
      </c>
      <c r="FX663">
        <v>70</v>
      </c>
      <c r="FY663">
        <v>10</v>
      </c>
      <c r="GA663" t="s">
        <v>3</v>
      </c>
      <c r="GD663">
        <v>0</v>
      </c>
      <c r="GF663">
        <v>194322230</v>
      </c>
      <c r="GG663">
        <v>2</v>
      </c>
      <c r="GH663">
        <v>1</v>
      </c>
      <c r="GI663">
        <v>-2</v>
      </c>
      <c r="GJ663">
        <v>0</v>
      </c>
      <c r="GK663">
        <f>ROUND(R663*(R12)/100,2)</f>
        <v>0</v>
      </c>
      <c r="GL663">
        <f t="shared" si="405"/>
        <v>0</v>
      </c>
      <c r="GM663">
        <f t="shared" si="406"/>
        <v>379.83</v>
      </c>
      <c r="GN663">
        <f t="shared" si="407"/>
        <v>0</v>
      </c>
      <c r="GO663">
        <f t="shared" si="408"/>
        <v>0</v>
      </c>
      <c r="GP663">
        <f t="shared" si="409"/>
        <v>379.83</v>
      </c>
      <c r="GR663">
        <v>0</v>
      </c>
      <c r="GS663">
        <v>3</v>
      </c>
      <c r="GT663">
        <v>0</v>
      </c>
      <c r="GU663" t="s">
        <v>3</v>
      </c>
      <c r="GV663">
        <f t="shared" si="410"/>
        <v>0</v>
      </c>
      <c r="GW663">
        <v>1</v>
      </c>
      <c r="GX663">
        <f t="shared" si="411"/>
        <v>0</v>
      </c>
      <c r="HA663">
        <v>0</v>
      </c>
      <c r="HB663">
        <v>0</v>
      </c>
      <c r="HC663">
        <f t="shared" si="412"/>
        <v>0</v>
      </c>
      <c r="HE663" t="s">
        <v>3</v>
      </c>
      <c r="HF663" t="s">
        <v>3</v>
      </c>
      <c r="HM663" t="s">
        <v>3</v>
      </c>
      <c r="HN663" t="s">
        <v>3</v>
      </c>
      <c r="HO663" t="s">
        <v>3</v>
      </c>
      <c r="HP663" t="s">
        <v>3</v>
      </c>
      <c r="HQ663" t="s">
        <v>3</v>
      </c>
      <c r="IK663">
        <v>0</v>
      </c>
    </row>
    <row r="664" spans="1:245" x14ac:dyDescent="0.2">
      <c r="A664">
        <v>17</v>
      </c>
      <c r="B664">
        <v>1</v>
      </c>
      <c r="D664">
        <f>ROW(EtalonRes!A257)</f>
        <v>257</v>
      </c>
      <c r="E664" t="s">
        <v>361</v>
      </c>
      <c r="F664" t="s">
        <v>362</v>
      </c>
      <c r="G664" t="s">
        <v>363</v>
      </c>
      <c r="H664" t="s">
        <v>26</v>
      </c>
      <c r="I664">
        <f>ROUND(ROUND((130+5)*0.2*0.1/100,9),9)</f>
        <v>2.7E-2</v>
      </c>
      <c r="J664">
        <v>0</v>
      </c>
      <c r="K664">
        <f>ROUND(ROUND((130+5)*0.2*0.1/100,9),9)</f>
        <v>2.7E-2</v>
      </c>
      <c r="O664">
        <f t="shared" si="373"/>
        <v>46.94</v>
      </c>
      <c r="P664">
        <f t="shared" si="374"/>
        <v>0.11</v>
      </c>
      <c r="Q664">
        <f t="shared" si="375"/>
        <v>0</v>
      </c>
      <c r="R664">
        <f t="shared" si="376"/>
        <v>0</v>
      </c>
      <c r="S664">
        <f t="shared" si="377"/>
        <v>46.83</v>
      </c>
      <c r="T664">
        <f t="shared" si="378"/>
        <v>0</v>
      </c>
      <c r="U664">
        <f t="shared" si="379"/>
        <v>8.7480000000000002E-2</v>
      </c>
      <c r="V664">
        <f t="shared" si="380"/>
        <v>0</v>
      </c>
      <c r="W664">
        <f t="shared" si="381"/>
        <v>0</v>
      </c>
      <c r="X664">
        <f t="shared" si="382"/>
        <v>32.78</v>
      </c>
      <c r="Y664">
        <f t="shared" si="383"/>
        <v>4.68</v>
      </c>
      <c r="AA664">
        <v>1473080740</v>
      </c>
      <c r="AB664">
        <f t="shared" si="384"/>
        <v>1738.55</v>
      </c>
      <c r="AC664">
        <f t="shared" si="385"/>
        <v>4.13</v>
      </c>
      <c r="AD664">
        <f t="shared" si="386"/>
        <v>0</v>
      </c>
      <c r="AE664">
        <f t="shared" si="387"/>
        <v>0</v>
      </c>
      <c r="AF664">
        <f t="shared" si="388"/>
        <v>1734.42</v>
      </c>
      <c r="AG664">
        <f t="shared" si="389"/>
        <v>0</v>
      </c>
      <c r="AH664">
        <f t="shared" si="390"/>
        <v>3.24</v>
      </c>
      <c r="AI664">
        <f t="shared" si="391"/>
        <v>0</v>
      </c>
      <c r="AJ664">
        <f t="shared" si="392"/>
        <v>0</v>
      </c>
      <c r="AK664">
        <v>1738.55</v>
      </c>
      <c r="AL664">
        <v>4.13</v>
      </c>
      <c r="AM664">
        <v>0</v>
      </c>
      <c r="AN664">
        <v>0</v>
      </c>
      <c r="AO664">
        <v>1734.42</v>
      </c>
      <c r="AP664">
        <v>0</v>
      </c>
      <c r="AQ664">
        <v>3.24</v>
      </c>
      <c r="AR664">
        <v>0</v>
      </c>
      <c r="AS664">
        <v>0</v>
      </c>
      <c r="AT664">
        <v>70</v>
      </c>
      <c r="AU664">
        <v>10</v>
      </c>
      <c r="AV664">
        <v>1</v>
      </c>
      <c r="AW664">
        <v>1</v>
      </c>
      <c r="AZ664">
        <v>1</v>
      </c>
      <c r="BA664">
        <v>1</v>
      </c>
      <c r="BB664">
        <v>1</v>
      </c>
      <c r="BC664">
        <v>1</v>
      </c>
      <c r="BD664" t="s">
        <v>3</v>
      </c>
      <c r="BE664" t="s">
        <v>3</v>
      </c>
      <c r="BF664" t="s">
        <v>3</v>
      </c>
      <c r="BG664" t="s">
        <v>3</v>
      </c>
      <c r="BH664">
        <v>0</v>
      </c>
      <c r="BI664">
        <v>4</v>
      </c>
      <c r="BJ664" t="s">
        <v>364</v>
      </c>
      <c r="BM664">
        <v>0</v>
      </c>
      <c r="BN664">
        <v>0</v>
      </c>
      <c r="BO664" t="s">
        <v>3</v>
      </c>
      <c r="BP664">
        <v>0</v>
      </c>
      <c r="BQ664">
        <v>1</v>
      </c>
      <c r="BR664">
        <v>0</v>
      </c>
      <c r="BS664">
        <v>1</v>
      </c>
      <c r="BT664">
        <v>1</v>
      </c>
      <c r="BU664">
        <v>1</v>
      </c>
      <c r="BV664">
        <v>1</v>
      </c>
      <c r="BW664">
        <v>1</v>
      </c>
      <c r="BX664">
        <v>1</v>
      </c>
      <c r="BY664" t="s">
        <v>3</v>
      </c>
      <c r="BZ664">
        <v>70</v>
      </c>
      <c r="CA664">
        <v>10</v>
      </c>
      <c r="CB664" t="s">
        <v>3</v>
      </c>
      <c r="CE664">
        <v>0</v>
      </c>
      <c r="CF664">
        <v>0</v>
      </c>
      <c r="CG664">
        <v>0</v>
      </c>
      <c r="CM664">
        <v>0</v>
      </c>
      <c r="CN664" t="s">
        <v>3</v>
      </c>
      <c r="CO664">
        <v>0</v>
      </c>
      <c r="CP664">
        <f t="shared" si="393"/>
        <v>46.94</v>
      </c>
      <c r="CQ664">
        <f t="shared" si="394"/>
        <v>4.13</v>
      </c>
      <c r="CR664">
        <f t="shared" si="395"/>
        <v>0</v>
      </c>
      <c r="CS664">
        <f t="shared" si="396"/>
        <v>0</v>
      </c>
      <c r="CT664">
        <f t="shared" si="397"/>
        <v>1734.42</v>
      </c>
      <c r="CU664">
        <f t="shared" si="398"/>
        <v>0</v>
      </c>
      <c r="CV664">
        <f t="shared" si="399"/>
        <v>3.24</v>
      </c>
      <c r="CW664">
        <f t="shared" si="400"/>
        <v>0</v>
      </c>
      <c r="CX664">
        <f t="shared" si="401"/>
        <v>0</v>
      </c>
      <c r="CY664">
        <f t="shared" si="402"/>
        <v>32.780999999999999</v>
      </c>
      <c r="CZ664">
        <f t="shared" si="403"/>
        <v>4.6829999999999998</v>
      </c>
      <c r="DC664" t="s">
        <v>3</v>
      </c>
      <c r="DD664" t="s">
        <v>3</v>
      </c>
      <c r="DE664" t="s">
        <v>3</v>
      </c>
      <c r="DF664" t="s">
        <v>3</v>
      </c>
      <c r="DG664" t="s">
        <v>3</v>
      </c>
      <c r="DH664" t="s">
        <v>3</v>
      </c>
      <c r="DI664" t="s">
        <v>3</v>
      </c>
      <c r="DJ664" t="s">
        <v>3</v>
      </c>
      <c r="DK664" t="s">
        <v>3</v>
      </c>
      <c r="DL664" t="s">
        <v>3</v>
      </c>
      <c r="DM664" t="s">
        <v>3</v>
      </c>
      <c r="DN664">
        <v>0</v>
      </c>
      <c r="DO664">
        <v>0</v>
      </c>
      <c r="DP664">
        <v>1</v>
      </c>
      <c r="DQ664">
        <v>1</v>
      </c>
      <c r="DU664">
        <v>1003</v>
      </c>
      <c r="DV664" t="s">
        <v>26</v>
      </c>
      <c r="DW664" t="s">
        <v>26</v>
      </c>
      <c r="DX664">
        <v>100</v>
      </c>
      <c r="DZ664" t="s">
        <v>3</v>
      </c>
      <c r="EA664" t="s">
        <v>3</v>
      </c>
      <c r="EB664" t="s">
        <v>3</v>
      </c>
      <c r="EC664" t="s">
        <v>3</v>
      </c>
      <c r="EE664">
        <v>1441815344</v>
      </c>
      <c r="EF664">
        <v>1</v>
      </c>
      <c r="EG664" t="s">
        <v>21</v>
      </c>
      <c r="EH664">
        <v>0</v>
      </c>
      <c r="EI664" t="s">
        <v>3</v>
      </c>
      <c r="EJ664">
        <v>4</v>
      </c>
      <c r="EK664">
        <v>0</v>
      </c>
      <c r="EL664" t="s">
        <v>22</v>
      </c>
      <c r="EM664" t="s">
        <v>23</v>
      </c>
      <c r="EO664" t="s">
        <v>3</v>
      </c>
      <c r="EQ664">
        <v>0</v>
      </c>
      <c r="ER664">
        <v>1738.55</v>
      </c>
      <c r="ES664">
        <v>4.13</v>
      </c>
      <c r="ET664">
        <v>0</v>
      </c>
      <c r="EU664">
        <v>0</v>
      </c>
      <c r="EV664">
        <v>1734.42</v>
      </c>
      <c r="EW664">
        <v>3.24</v>
      </c>
      <c r="EX664">
        <v>0</v>
      </c>
      <c r="EY664">
        <v>0</v>
      </c>
      <c r="FQ664">
        <v>0</v>
      </c>
      <c r="FR664">
        <f t="shared" si="404"/>
        <v>0</v>
      </c>
      <c r="FS664">
        <v>0</v>
      </c>
      <c r="FX664">
        <v>70</v>
      </c>
      <c r="FY664">
        <v>10</v>
      </c>
      <c r="GA664" t="s">
        <v>3</v>
      </c>
      <c r="GD664">
        <v>0</v>
      </c>
      <c r="GF664">
        <v>114879293</v>
      </c>
      <c r="GG664">
        <v>2</v>
      </c>
      <c r="GH664">
        <v>1</v>
      </c>
      <c r="GI664">
        <v>-2</v>
      </c>
      <c r="GJ664">
        <v>0</v>
      </c>
      <c r="GK664">
        <f>ROUND(R664*(R12)/100,2)</f>
        <v>0</v>
      </c>
      <c r="GL664">
        <f t="shared" si="405"/>
        <v>0</v>
      </c>
      <c r="GM664">
        <f t="shared" si="406"/>
        <v>84.4</v>
      </c>
      <c r="GN664">
        <f t="shared" si="407"/>
        <v>0</v>
      </c>
      <c r="GO664">
        <f t="shared" si="408"/>
        <v>0</v>
      </c>
      <c r="GP664">
        <f t="shared" si="409"/>
        <v>84.4</v>
      </c>
      <c r="GR664">
        <v>0</v>
      </c>
      <c r="GS664">
        <v>3</v>
      </c>
      <c r="GT664">
        <v>0</v>
      </c>
      <c r="GU664" t="s">
        <v>3</v>
      </c>
      <c r="GV664">
        <f t="shared" si="410"/>
        <v>0</v>
      </c>
      <c r="GW664">
        <v>1</v>
      </c>
      <c r="GX664">
        <f t="shared" si="411"/>
        <v>0</v>
      </c>
      <c r="HA664">
        <v>0</v>
      </c>
      <c r="HB664">
        <v>0</v>
      </c>
      <c r="HC664">
        <f t="shared" si="412"/>
        <v>0</v>
      </c>
      <c r="HE664" t="s">
        <v>3</v>
      </c>
      <c r="HF664" t="s">
        <v>3</v>
      </c>
      <c r="HM664" t="s">
        <v>3</v>
      </c>
      <c r="HN664" t="s">
        <v>3</v>
      </c>
      <c r="HO664" t="s">
        <v>3</v>
      </c>
      <c r="HP664" t="s">
        <v>3</v>
      </c>
      <c r="HQ664" t="s">
        <v>3</v>
      </c>
      <c r="IK664">
        <v>0</v>
      </c>
    </row>
    <row r="665" spans="1:245" x14ac:dyDescent="0.2">
      <c r="A665">
        <v>17</v>
      </c>
      <c r="B665">
        <v>1</v>
      </c>
      <c r="D665">
        <f>ROW(EtalonRes!A259)</f>
        <v>259</v>
      </c>
      <c r="E665" t="s">
        <v>3</v>
      </c>
      <c r="F665" t="s">
        <v>365</v>
      </c>
      <c r="G665" t="s">
        <v>366</v>
      </c>
      <c r="H665" t="s">
        <v>26</v>
      </c>
      <c r="I665">
        <f>ROUND(ROUND((130+5)*0.1/100,9),9)</f>
        <v>0.13500000000000001</v>
      </c>
      <c r="J665">
        <v>0</v>
      </c>
      <c r="K665">
        <f>ROUND(ROUND((130+5)*0.1/100,9),9)</f>
        <v>0.13500000000000001</v>
      </c>
      <c r="O665">
        <f t="shared" si="373"/>
        <v>35.51</v>
      </c>
      <c r="P665">
        <f t="shared" si="374"/>
        <v>0.1</v>
      </c>
      <c r="Q665">
        <f t="shared" si="375"/>
        <v>0</v>
      </c>
      <c r="R665">
        <f t="shared" si="376"/>
        <v>0</v>
      </c>
      <c r="S665">
        <f t="shared" si="377"/>
        <v>35.409999999999997</v>
      </c>
      <c r="T665">
        <f t="shared" si="378"/>
        <v>0</v>
      </c>
      <c r="U665">
        <f t="shared" si="379"/>
        <v>6.615E-2</v>
      </c>
      <c r="V665">
        <f t="shared" si="380"/>
        <v>0</v>
      </c>
      <c r="W665">
        <f t="shared" si="381"/>
        <v>0</v>
      </c>
      <c r="X665">
        <f t="shared" si="382"/>
        <v>24.79</v>
      </c>
      <c r="Y665">
        <f t="shared" si="383"/>
        <v>3.54</v>
      </c>
      <c r="AA665">
        <v>-1</v>
      </c>
      <c r="AB665">
        <f t="shared" si="384"/>
        <v>263.06</v>
      </c>
      <c r="AC665">
        <f t="shared" si="385"/>
        <v>0.75</v>
      </c>
      <c r="AD665">
        <f t="shared" si="386"/>
        <v>0</v>
      </c>
      <c r="AE665">
        <f t="shared" si="387"/>
        <v>0</v>
      </c>
      <c r="AF665">
        <f t="shared" si="388"/>
        <v>262.31</v>
      </c>
      <c r="AG665">
        <f t="shared" si="389"/>
        <v>0</v>
      </c>
      <c r="AH665">
        <f t="shared" si="390"/>
        <v>0.49</v>
      </c>
      <c r="AI665">
        <f t="shared" si="391"/>
        <v>0</v>
      </c>
      <c r="AJ665">
        <f t="shared" si="392"/>
        <v>0</v>
      </c>
      <c r="AK665">
        <v>263.06</v>
      </c>
      <c r="AL665">
        <v>0.75</v>
      </c>
      <c r="AM665">
        <v>0</v>
      </c>
      <c r="AN665">
        <v>0</v>
      </c>
      <c r="AO665">
        <v>262.31</v>
      </c>
      <c r="AP665">
        <v>0</v>
      </c>
      <c r="AQ665">
        <v>0.49</v>
      </c>
      <c r="AR665">
        <v>0</v>
      </c>
      <c r="AS665">
        <v>0</v>
      </c>
      <c r="AT665">
        <v>70</v>
      </c>
      <c r="AU665">
        <v>10</v>
      </c>
      <c r="AV665">
        <v>1</v>
      </c>
      <c r="AW665">
        <v>1</v>
      </c>
      <c r="AZ665">
        <v>1</v>
      </c>
      <c r="BA665">
        <v>1</v>
      </c>
      <c r="BB665">
        <v>1</v>
      </c>
      <c r="BC665">
        <v>1</v>
      </c>
      <c r="BD665" t="s">
        <v>3</v>
      </c>
      <c r="BE665" t="s">
        <v>3</v>
      </c>
      <c r="BF665" t="s">
        <v>3</v>
      </c>
      <c r="BG665" t="s">
        <v>3</v>
      </c>
      <c r="BH665">
        <v>0</v>
      </c>
      <c r="BI665">
        <v>4</v>
      </c>
      <c r="BJ665" t="s">
        <v>367</v>
      </c>
      <c r="BM665">
        <v>0</v>
      </c>
      <c r="BN665">
        <v>0</v>
      </c>
      <c r="BO665" t="s">
        <v>3</v>
      </c>
      <c r="BP665">
        <v>0</v>
      </c>
      <c r="BQ665">
        <v>1</v>
      </c>
      <c r="BR665">
        <v>0</v>
      </c>
      <c r="BS665">
        <v>1</v>
      </c>
      <c r="BT665">
        <v>1</v>
      </c>
      <c r="BU665">
        <v>1</v>
      </c>
      <c r="BV665">
        <v>1</v>
      </c>
      <c r="BW665">
        <v>1</v>
      </c>
      <c r="BX665">
        <v>1</v>
      </c>
      <c r="BY665" t="s">
        <v>3</v>
      </c>
      <c r="BZ665">
        <v>70</v>
      </c>
      <c r="CA665">
        <v>10</v>
      </c>
      <c r="CB665" t="s">
        <v>3</v>
      </c>
      <c r="CE665">
        <v>0</v>
      </c>
      <c r="CF665">
        <v>0</v>
      </c>
      <c r="CG665">
        <v>0</v>
      </c>
      <c r="CM665">
        <v>0</v>
      </c>
      <c r="CN665" t="s">
        <v>3</v>
      </c>
      <c r="CO665">
        <v>0</v>
      </c>
      <c r="CP665">
        <f t="shared" si="393"/>
        <v>35.51</v>
      </c>
      <c r="CQ665">
        <f t="shared" si="394"/>
        <v>0.75</v>
      </c>
      <c r="CR665">
        <f t="shared" si="395"/>
        <v>0</v>
      </c>
      <c r="CS665">
        <f t="shared" si="396"/>
        <v>0</v>
      </c>
      <c r="CT665">
        <f t="shared" si="397"/>
        <v>262.31</v>
      </c>
      <c r="CU665">
        <f t="shared" si="398"/>
        <v>0</v>
      </c>
      <c r="CV665">
        <f t="shared" si="399"/>
        <v>0.49</v>
      </c>
      <c r="CW665">
        <f t="shared" si="400"/>
        <v>0</v>
      </c>
      <c r="CX665">
        <f t="shared" si="401"/>
        <v>0</v>
      </c>
      <c r="CY665">
        <f t="shared" si="402"/>
        <v>24.786999999999999</v>
      </c>
      <c r="CZ665">
        <f t="shared" si="403"/>
        <v>3.5409999999999995</v>
      </c>
      <c r="DC665" t="s">
        <v>3</v>
      </c>
      <c r="DD665" t="s">
        <v>3</v>
      </c>
      <c r="DE665" t="s">
        <v>3</v>
      </c>
      <c r="DF665" t="s">
        <v>3</v>
      </c>
      <c r="DG665" t="s">
        <v>3</v>
      </c>
      <c r="DH665" t="s">
        <v>3</v>
      </c>
      <c r="DI665" t="s">
        <v>3</v>
      </c>
      <c r="DJ665" t="s">
        <v>3</v>
      </c>
      <c r="DK665" t="s">
        <v>3</v>
      </c>
      <c r="DL665" t="s">
        <v>3</v>
      </c>
      <c r="DM665" t="s">
        <v>3</v>
      </c>
      <c r="DN665">
        <v>0</v>
      </c>
      <c r="DO665">
        <v>0</v>
      </c>
      <c r="DP665">
        <v>1</v>
      </c>
      <c r="DQ665">
        <v>1</v>
      </c>
      <c r="DU665">
        <v>1003</v>
      </c>
      <c r="DV665" t="s">
        <v>26</v>
      </c>
      <c r="DW665" t="s">
        <v>26</v>
      </c>
      <c r="DX665">
        <v>100</v>
      </c>
      <c r="DZ665" t="s">
        <v>3</v>
      </c>
      <c r="EA665" t="s">
        <v>3</v>
      </c>
      <c r="EB665" t="s">
        <v>3</v>
      </c>
      <c r="EC665" t="s">
        <v>3</v>
      </c>
      <c r="EE665">
        <v>1441815344</v>
      </c>
      <c r="EF665">
        <v>1</v>
      </c>
      <c r="EG665" t="s">
        <v>21</v>
      </c>
      <c r="EH665">
        <v>0</v>
      </c>
      <c r="EI665" t="s">
        <v>3</v>
      </c>
      <c r="EJ665">
        <v>4</v>
      </c>
      <c r="EK665">
        <v>0</v>
      </c>
      <c r="EL665" t="s">
        <v>22</v>
      </c>
      <c r="EM665" t="s">
        <v>23</v>
      </c>
      <c r="EO665" t="s">
        <v>3</v>
      </c>
      <c r="EQ665">
        <v>1024</v>
      </c>
      <c r="ER665">
        <v>263.06</v>
      </c>
      <c r="ES665">
        <v>0.75</v>
      </c>
      <c r="ET665">
        <v>0</v>
      </c>
      <c r="EU665">
        <v>0</v>
      </c>
      <c r="EV665">
        <v>262.31</v>
      </c>
      <c r="EW665">
        <v>0.49</v>
      </c>
      <c r="EX665">
        <v>0</v>
      </c>
      <c r="EY665">
        <v>0</v>
      </c>
      <c r="FQ665">
        <v>0</v>
      </c>
      <c r="FR665">
        <f t="shared" si="404"/>
        <v>0</v>
      </c>
      <c r="FS665">
        <v>0</v>
      </c>
      <c r="FX665">
        <v>70</v>
      </c>
      <c r="FY665">
        <v>10</v>
      </c>
      <c r="GA665" t="s">
        <v>3</v>
      </c>
      <c r="GD665">
        <v>0</v>
      </c>
      <c r="GF665">
        <v>952574580</v>
      </c>
      <c r="GG665">
        <v>2</v>
      </c>
      <c r="GH665">
        <v>1</v>
      </c>
      <c r="GI665">
        <v>-2</v>
      </c>
      <c r="GJ665">
        <v>0</v>
      </c>
      <c r="GK665">
        <f>ROUND(R665*(R12)/100,2)</f>
        <v>0</v>
      </c>
      <c r="GL665">
        <f t="shared" si="405"/>
        <v>0</v>
      </c>
      <c r="GM665">
        <f t="shared" si="406"/>
        <v>63.84</v>
      </c>
      <c r="GN665">
        <f t="shared" si="407"/>
        <v>0</v>
      </c>
      <c r="GO665">
        <f t="shared" si="408"/>
        <v>0</v>
      </c>
      <c r="GP665">
        <f t="shared" si="409"/>
        <v>63.84</v>
      </c>
      <c r="GR665">
        <v>0</v>
      </c>
      <c r="GS665">
        <v>3</v>
      </c>
      <c r="GT665">
        <v>0</v>
      </c>
      <c r="GU665" t="s">
        <v>3</v>
      </c>
      <c r="GV665">
        <f t="shared" si="410"/>
        <v>0</v>
      </c>
      <c r="GW665">
        <v>1</v>
      </c>
      <c r="GX665">
        <f t="shared" si="411"/>
        <v>0</v>
      </c>
      <c r="HA665">
        <v>0</v>
      </c>
      <c r="HB665">
        <v>0</v>
      </c>
      <c r="HC665">
        <f t="shared" si="412"/>
        <v>0</v>
      </c>
      <c r="HE665" t="s">
        <v>3</v>
      </c>
      <c r="HF665" t="s">
        <v>3</v>
      </c>
      <c r="HM665" t="s">
        <v>3</v>
      </c>
      <c r="HN665" t="s">
        <v>3</v>
      </c>
      <c r="HO665" t="s">
        <v>3</v>
      </c>
      <c r="HP665" t="s">
        <v>3</v>
      </c>
      <c r="HQ665" t="s">
        <v>3</v>
      </c>
      <c r="IK665">
        <v>0</v>
      </c>
    </row>
    <row r="666" spans="1:245" x14ac:dyDescent="0.2">
      <c r="A666">
        <v>17</v>
      </c>
      <c r="B666">
        <v>1</v>
      </c>
      <c r="D666">
        <f>ROW(EtalonRes!A261)</f>
        <v>261</v>
      </c>
      <c r="E666" t="s">
        <v>368</v>
      </c>
      <c r="F666" t="s">
        <v>327</v>
      </c>
      <c r="G666" t="s">
        <v>369</v>
      </c>
      <c r="H666" t="s">
        <v>26</v>
      </c>
      <c r="I666">
        <f>ROUND(ROUND((250)*0.2*0.1/100,9),9)</f>
        <v>0.05</v>
      </c>
      <c r="J666">
        <v>0</v>
      </c>
      <c r="K666">
        <f>ROUND(ROUND((250)*0.2*0.1/100,9),9)</f>
        <v>0.05</v>
      </c>
      <c r="O666">
        <f t="shared" si="373"/>
        <v>192.24</v>
      </c>
      <c r="P666">
        <f t="shared" si="374"/>
        <v>1.1299999999999999</v>
      </c>
      <c r="Q666">
        <f t="shared" si="375"/>
        <v>0</v>
      </c>
      <c r="R666">
        <f t="shared" si="376"/>
        <v>0</v>
      </c>
      <c r="S666">
        <f t="shared" si="377"/>
        <v>191.11</v>
      </c>
      <c r="T666">
        <f t="shared" si="378"/>
        <v>0</v>
      </c>
      <c r="U666">
        <f t="shared" si="379"/>
        <v>0.35699999999999998</v>
      </c>
      <c r="V666">
        <f t="shared" si="380"/>
        <v>0</v>
      </c>
      <c r="W666">
        <f t="shared" si="381"/>
        <v>0</v>
      </c>
      <c r="X666">
        <f t="shared" si="382"/>
        <v>133.78</v>
      </c>
      <c r="Y666">
        <f t="shared" si="383"/>
        <v>19.11</v>
      </c>
      <c r="AA666">
        <v>1473080740</v>
      </c>
      <c r="AB666">
        <f t="shared" si="384"/>
        <v>3844.66</v>
      </c>
      <c r="AC666">
        <f t="shared" si="385"/>
        <v>22.51</v>
      </c>
      <c r="AD666">
        <f t="shared" si="386"/>
        <v>0</v>
      </c>
      <c r="AE666">
        <f t="shared" si="387"/>
        <v>0</v>
      </c>
      <c r="AF666">
        <f t="shared" si="388"/>
        <v>3822.15</v>
      </c>
      <c r="AG666">
        <f t="shared" si="389"/>
        <v>0</v>
      </c>
      <c r="AH666">
        <f t="shared" si="390"/>
        <v>7.14</v>
      </c>
      <c r="AI666">
        <f t="shared" si="391"/>
        <v>0</v>
      </c>
      <c r="AJ666">
        <f t="shared" si="392"/>
        <v>0</v>
      </c>
      <c r="AK666">
        <v>3844.66</v>
      </c>
      <c r="AL666">
        <v>22.51</v>
      </c>
      <c r="AM666">
        <v>0</v>
      </c>
      <c r="AN666">
        <v>0</v>
      </c>
      <c r="AO666">
        <v>3822.15</v>
      </c>
      <c r="AP666">
        <v>0</v>
      </c>
      <c r="AQ666">
        <v>7.14</v>
      </c>
      <c r="AR666">
        <v>0</v>
      </c>
      <c r="AS666">
        <v>0</v>
      </c>
      <c r="AT666">
        <v>70</v>
      </c>
      <c r="AU666">
        <v>10</v>
      </c>
      <c r="AV666">
        <v>1</v>
      </c>
      <c r="AW666">
        <v>1</v>
      </c>
      <c r="AZ666">
        <v>1</v>
      </c>
      <c r="BA666">
        <v>1</v>
      </c>
      <c r="BB666">
        <v>1</v>
      </c>
      <c r="BC666">
        <v>1</v>
      </c>
      <c r="BD666" t="s">
        <v>3</v>
      </c>
      <c r="BE666" t="s">
        <v>3</v>
      </c>
      <c r="BF666" t="s">
        <v>3</v>
      </c>
      <c r="BG666" t="s">
        <v>3</v>
      </c>
      <c r="BH666">
        <v>0</v>
      </c>
      <c r="BI666">
        <v>4</v>
      </c>
      <c r="BJ666" t="s">
        <v>329</v>
      </c>
      <c r="BM666">
        <v>0</v>
      </c>
      <c r="BN666">
        <v>0</v>
      </c>
      <c r="BO666" t="s">
        <v>3</v>
      </c>
      <c r="BP666">
        <v>0</v>
      </c>
      <c r="BQ666">
        <v>1</v>
      </c>
      <c r="BR666">
        <v>0</v>
      </c>
      <c r="BS666">
        <v>1</v>
      </c>
      <c r="BT666">
        <v>1</v>
      </c>
      <c r="BU666">
        <v>1</v>
      </c>
      <c r="BV666">
        <v>1</v>
      </c>
      <c r="BW666">
        <v>1</v>
      </c>
      <c r="BX666">
        <v>1</v>
      </c>
      <c r="BY666" t="s">
        <v>3</v>
      </c>
      <c r="BZ666">
        <v>70</v>
      </c>
      <c r="CA666">
        <v>10</v>
      </c>
      <c r="CB666" t="s">
        <v>3</v>
      </c>
      <c r="CE666">
        <v>0</v>
      </c>
      <c r="CF666">
        <v>0</v>
      </c>
      <c r="CG666">
        <v>0</v>
      </c>
      <c r="CM666">
        <v>0</v>
      </c>
      <c r="CN666" t="s">
        <v>3</v>
      </c>
      <c r="CO666">
        <v>0</v>
      </c>
      <c r="CP666">
        <f t="shared" si="393"/>
        <v>192.24</v>
      </c>
      <c r="CQ666">
        <f t="shared" si="394"/>
        <v>22.51</v>
      </c>
      <c r="CR666">
        <f t="shared" si="395"/>
        <v>0</v>
      </c>
      <c r="CS666">
        <f t="shared" si="396"/>
        <v>0</v>
      </c>
      <c r="CT666">
        <f t="shared" si="397"/>
        <v>3822.15</v>
      </c>
      <c r="CU666">
        <f t="shared" si="398"/>
        <v>0</v>
      </c>
      <c r="CV666">
        <f t="shared" si="399"/>
        <v>7.14</v>
      </c>
      <c r="CW666">
        <f t="shared" si="400"/>
        <v>0</v>
      </c>
      <c r="CX666">
        <f t="shared" si="401"/>
        <v>0</v>
      </c>
      <c r="CY666">
        <f t="shared" si="402"/>
        <v>133.77700000000002</v>
      </c>
      <c r="CZ666">
        <f t="shared" si="403"/>
        <v>19.111000000000001</v>
      </c>
      <c r="DC666" t="s">
        <v>3</v>
      </c>
      <c r="DD666" t="s">
        <v>3</v>
      </c>
      <c r="DE666" t="s">
        <v>3</v>
      </c>
      <c r="DF666" t="s">
        <v>3</v>
      </c>
      <c r="DG666" t="s">
        <v>3</v>
      </c>
      <c r="DH666" t="s">
        <v>3</v>
      </c>
      <c r="DI666" t="s">
        <v>3</v>
      </c>
      <c r="DJ666" t="s">
        <v>3</v>
      </c>
      <c r="DK666" t="s">
        <v>3</v>
      </c>
      <c r="DL666" t="s">
        <v>3</v>
      </c>
      <c r="DM666" t="s">
        <v>3</v>
      </c>
      <c r="DN666">
        <v>0</v>
      </c>
      <c r="DO666">
        <v>0</v>
      </c>
      <c r="DP666">
        <v>1</v>
      </c>
      <c r="DQ666">
        <v>1</v>
      </c>
      <c r="DU666">
        <v>1003</v>
      </c>
      <c r="DV666" t="s">
        <v>26</v>
      </c>
      <c r="DW666" t="s">
        <v>26</v>
      </c>
      <c r="DX666">
        <v>100</v>
      </c>
      <c r="DZ666" t="s">
        <v>3</v>
      </c>
      <c r="EA666" t="s">
        <v>3</v>
      </c>
      <c r="EB666" t="s">
        <v>3</v>
      </c>
      <c r="EC666" t="s">
        <v>3</v>
      </c>
      <c r="EE666">
        <v>1441815344</v>
      </c>
      <c r="EF666">
        <v>1</v>
      </c>
      <c r="EG666" t="s">
        <v>21</v>
      </c>
      <c r="EH666">
        <v>0</v>
      </c>
      <c r="EI666" t="s">
        <v>3</v>
      </c>
      <c r="EJ666">
        <v>4</v>
      </c>
      <c r="EK666">
        <v>0</v>
      </c>
      <c r="EL666" t="s">
        <v>22</v>
      </c>
      <c r="EM666" t="s">
        <v>23</v>
      </c>
      <c r="EO666" t="s">
        <v>3</v>
      </c>
      <c r="EQ666">
        <v>0</v>
      </c>
      <c r="ER666">
        <v>3844.66</v>
      </c>
      <c r="ES666">
        <v>22.51</v>
      </c>
      <c r="ET666">
        <v>0</v>
      </c>
      <c r="EU666">
        <v>0</v>
      </c>
      <c r="EV666">
        <v>3822.15</v>
      </c>
      <c r="EW666">
        <v>7.14</v>
      </c>
      <c r="EX666">
        <v>0</v>
      </c>
      <c r="EY666">
        <v>0</v>
      </c>
      <c r="FQ666">
        <v>0</v>
      </c>
      <c r="FR666">
        <f t="shared" si="404"/>
        <v>0</v>
      </c>
      <c r="FS666">
        <v>0</v>
      </c>
      <c r="FX666">
        <v>70</v>
      </c>
      <c r="FY666">
        <v>10</v>
      </c>
      <c r="GA666" t="s">
        <v>3</v>
      </c>
      <c r="GD666">
        <v>0</v>
      </c>
      <c r="GF666">
        <v>-934011052</v>
      </c>
      <c r="GG666">
        <v>2</v>
      </c>
      <c r="GH666">
        <v>1</v>
      </c>
      <c r="GI666">
        <v>-2</v>
      </c>
      <c r="GJ666">
        <v>0</v>
      </c>
      <c r="GK666">
        <f>ROUND(R666*(R12)/100,2)</f>
        <v>0</v>
      </c>
      <c r="GL666">
        <f t="shared" si="405"/>
        <v>0</v>
      </c>
      <c r="GM666">
        <f t="shared" si="406"/>
        <v>345.13</v>
      </c>
      <c r="GN666">
        <f t="shared" si="407"/>
        <v>0</v>
      </c>
      <c r="GO666">
        <f t="shared" si="408"/>
        <v>0</v>
      </c>
      <c r="GP666">
        <f t="shared" si="409"/>
        <v>345.13</v>
      </c>
      <c r="GR666">
        <v>0</v>
      </c>
      <c r="GS666">
        <v>3</v>
      </c>
      <c r="GT666">
        <v>0</v>
      </c>
      <c r="GU666" t="s">
        <v>3</v>
      </c>
      <c r="GV666">
        <f t="shared" si="410"/>
        <v>0</v>
      </c>
      <c r="GW666">
        <v>1</v>
      </c>
      <c r="GX666">
        <f t="shared" si="411"/>
        <v>0</v>
      </c>
      <c r="HA666">
        <v>0</v>
      </c>
      <c r="HB666">
        <v>0</v>
      </c>
      <c r="HC666">
        <f t="shared" si="412"/>
        <v>0</v>
      </c>
      <c r="HE666" t="s">
        <v>3</v>
      </c>
      <c r="HF666" t="s">
        <v>3</v>
      </c>
      <c r="HM666" t="s">
        <v>3</v>
      </c>
      <c r="HN666" t="s">
        <v>3</v>
      </c>
      <c r="HO666" t="s">
        <v>3</v>
      </c>
      <c r="HP666" t="s">
        <v>3</v>
      </c>
      <c r="HQ666" t="s">
        <v>3</v>
      </c>
      <c r="IK666">
        <v>0</v>
      </c>
    </row>
    <row r="667" spans="1:245" x14ac:dyDescent="0.2">
      <c r="A667">
        <v>17</v>
      </c>
      <c r="B667">
        <v>1</v>
      </c>
      <c r="D667">
        <f>ROW(EtalonRes!A262)</f>
        <v>262</v>
      </c>
      <c r="E667" t="s">
        <v>3</v>
      </c>
      <c r="F667" t="s">
        <v>330</v>
      </c>
      <c r="G667" t="s">
        <v>370</v>
      </c>
      <c r="H667" t="s">
        <v>26</v>
      </c>
      <c r="I667">
        <f>ROUND(ROUND((250)*0.1/100,9),9)</f>
        <v>0.25</v>
      </c>
      <c r="J667">
        <v>0</v>
      </c>
      <c r="K667">
        <f>ROUND(ROUND((250)*0.1/100,9),9)</f>
        <v>0.25</v>
      </c>
      <c r="O667">
        <f t="shared" si="373"/>
        <v>32.119999999999997</v>
      </c>
      <c r="P667">
        <f t="shared" si="374"/>
        <v>0</v>
      </c>
      <c r="Q667">
        <f t="shared" si="375"/>
        <v>0</v>
      </c>
      <c r="R667">
        <f t="shared" si="376"/>
        <v>0</v>
      </c>
      <c r="S667">
        <f t="shared" si="377"/>
        <v>32.119999999999997</v>
      </c>
      <c r="T667">
        <f t="shared" si="378"/>
        <v>0</v>
      </c>
      <c r="U667">
        <f t="shared" si="379"/>
        <v>0.06</v>
      </c>
      <c r="V667">
        <f t="shared" si="380"/>
        <v>0</v>
      </c>
      <c r="W667">
        <f t="shared" si="381"/>
        <v>0</v>
      </c>
      <c r="X667">
        <f t="shared" si="382"/>
        <v>22.48</v>
      </c>
      <c r="Y667">
        <f t="shared" si="383"/>
        <v>3.21</v>
      </c>
      <c r="AA667">
        <v>-1</v>
      </c>
      <c r="AB667">
        <f t="shared" si="384"/>
        <v>128.47999999999999</v>
      </c>
      <c r="AC667">
        <f t="shared" si="385"/>
        <v>0</v>
      </c>
      <c r="AD667">
        <f t="shared" si="386"/>
        <v>0</v>
      </c>
      <c r="AE667">
        <f t="shared" si="387"/>
        <v>0</v>
      </c>
      <c r="AF667">
        <f t="shared" si="388"/>
        <v>128.47999999999999</v>
      </c>
      <c r="AG667">
        <f t="shared" si="389"/>
        <v>0</v>
      </c>
      <c r="AH667">
        <f t="shared" si="390"/>
        <v>0.24</v>
      </c>
      <c r="AI667">
        <f t="shared" si="391"/>
        <v>0</v>
      </c>
      <c r="AJ667">
        <f t="shared" si="392"/>
        <v>0</v>
      </c>
      <c r="AK667">
        <v>128.47999999999999</v>
      </c>
      <c r="AL667">
        <v>0</v>
      </c>
      <c r="AM667">
        <v>0</v>
      </c>
      <c r="AN667">
        <v>0</v>
      </c>
      <c r="AO667">
        <v>128.47999999999999</v>
      </c>
      <c r="AP667">
        <v>0</v>
      </c>
      <c r="AQ667">
        <v>0.24</v>
      </c>
      <c r="AR667">
        <v>0</v>
      </c>
      <c r="AS667">
        <v>0</v>
      </c>
      <c r="AT667">
        <v>70</v>
      </c>
      <c r="AU667">
        <v>10</v>
      </c>
      <c r="AV667">
        <v>1</v>
      </c>
      <c r="AW667">
        <v>1</v>
      </c>
      <c r="AZ667">
        <v>1</v>
      </c>
      <c r="BA667">
        <v>1</v>
      </c>
      <c r="BB667">
        <v>1</v>
      </c>
      <c r="BC667">
        <v>1</v>
      </c>
      <c r="BD667" t="s">
        <v>3</v>
      </c>
      <c r="BE667" t="s">
        <v>3</v>
      </c>
      <c r="BF667" t="s">
        <v>3</v>
      </c>
      <c r="BG667" t="s">
        <v>3</v>
      </c>
      <c r="BH667">
        <v>0</v>
      </c>
      <c r="BI667">
        <v>4</v>
      </c>
      <c r="BJ667" t="s">
        <v>332</v>
      </c>
      <c r="BM667">
        <v>0</v>
      </c>
      <c r="BN667">
        <v>0</v>
      </c>
      <c r="BO667" t="s">
        <v>3</v>
      </c>
      <c r="BP667">
        <v>0</v>
      </c>
      <c r="BQ667">
        <v>1</v>
      </c>
      <c r="BR667">
        <v>0</v>
      </c>
      <c r="BS667">
        <v>1</v>
      </c>
      <c r="BT667">
        <v>1</v>
      </c>
      <c r="BU667">
        <v>1</v>
      </c>
      <c r="BV667">
        <v>1</v>
      </c>
      <c r="BW667">
        <v>1</v>
      </c>
      <c r="BX667">
        <v>1</v>
      </c>
      <c r="BY667" t="s">
        <v>3</v>
      </c>
      <c r="BZ667">
        <v>70</v>
      </c>
      <c r="CA667">
        <v>10</v>
      </c>
      <c r="CB667" t="s">
        <v>3</v>
      </c>
      <c r="CE667">
        <v>0</v>
      </c>
      <c r="CF667">
        <v>0</v>
      </c>
      <c r="CG667">
        <v>0</v>
      </c>
      <c r="CM667">
        <v>0</v>
      </c>
      <c r="CN667" t="s">
        <v>3</v>
      </c>
      <c r="CO667">
        <v>0</v>
      </c>
      <c r="CP667">
        <f t="shared" si="393"/>
        <v>32.119999999999997</v>
      </c>
      <c r="CQ667">
        <f t="shared" si="394"/>
        <v>0</v>
      </c>
      <c r="CR667">
        <f t="shared" si="395"/>
        <v>0</v>
      </c>
      <c r="CS667">
        <f t="shared" si="396"/>
        <v>0</v>
      </c>
      <c r="CT667">
        <f t="shared" si="397"/>
        <v>128.47999999999999</v>
      </c>
      <c r="CU667">
        <f t="shared" si="398"/>
        <v>0</v>
      </c>
      <c r="CV667">
        <f t="shared" si="399"/>
        <v>0.24</v>
      </c>
      <c r="CW667">
        <f t="shared" si="400"/>
        <v>0</v>
      </c>
      <c r="CX667">
        <f t="shared" si="401"/>
        <v>0</v>
      </c>
      <c r="CY667">
        <f t="shared" si="402"/>
        <v>22.483999999999995</v>
      </c>
      <c r="CZ667">
        <f t="shared" si="403"/>
        <v>3.2119999999999997</v>
      </c>
      <c r="DC667" t="s">
        <v>3</v>
      </c>
      <c r="DD667" t="s">
        <v>3</v>
      </c>
      <c r="DE667" t="s">
        <v>3</v>
      </c>
      <c r="DF667" t="s">
        <v>3</v>
      </c>
      <c r="DG667" t="s">
        <v>3</v>
      </c>
      <c r="DH667" t="s">
        <v>3</v>
      </c>
      <c r="DI667" t="s">
        <v>3</v>
      </c>
      <c r="DJ667" t="s">
        <v>3</v>
      </c>
      <c r="DK667" t="s">
        <v>3</v>
      </c>
      <c r="DL667" t="s">
        <v>3</v>
      </c>
      <c r="DM667" t="s">
        <v>3</v>
      </c>
      <c r="DN667">
        <v>0</v>
      </c>
      <c r="DO667">
        <v>0</v>
      </c>
      <c r="DP667">
        <v>1</v>
      </c>
      <c r="DQ667">
        <v>1</v>
      </c>
      <c r="DU667">
        <v>1003</v>
      </c>
      <c r="DV667" t="s">
        <v>26</v>
      </c>
      <c r="DW667" t="s">
        <v>26</v>
      </c>
      <c r="DX667">
        <v>100</v>
      </c>
      <c r="DZ667" t="s">
        <v>3</v>
      </c>
      <c r="EA667" t="s">
        <v>3</v>
      </c>
      <c r="EB667" t="s">
        <v>3</v>
      </c>
      <c r="EC667" t="s">
        <v>3</v>
      </c>
      <c r="EE667">
        <v>1441815344</v>
      </c>
      <c r="EF667">
        <v>1</v>
      </c>
      <c r="EG667" t="s">
        <v>21</v>
      </c>
      <c r="EH667">
        <v>0</v>
      </c>
      <c r="EI667" t="s">
        <v>3</v>
      </c>
      <c r="EJ667">
        <v>4</v>
      </c>
      <c r="EK667">
        <v>0</v>
      </c>
      <c r="EL667" t="s">
        <v>22</v>
      </c>
      <c r="EM667" t="s">
        <v>23</v>
      </c>
      <c r="EO667" t="s">
        <v>3</v>
      </c>
      <c r="EQ667">
        <v>1024</v>
      </c>
      <c r="ER667">
        <v>128.47999999999999</v>
      </c>
      <c r="ES667">
        <v>0</v>
      </c>
      <c r="ET667">
        <v>0</v>
      </c>
      <c r="EU667">
        <v>0</v>
      </c>
      <c r="EV667">
        <v>128.47999999999999</v>
      </c>
      <c r="EW667">
        <v>0.24</v>
      </c>
      <c r="EX667">
        <v>0</v>
      </c>
      <c r="EY667">
        <v>0</v>
      </c>
      <c r="FQ667">
        <v>0</v>
      </c>
      <c r="FR667">
        <f t="shared" si="404"/>
        <v>0</v>
      </c>
      <c r="FS667">
        <v>0</v>
      </c>
      <c r="FX667">
        <v>70</v>
      </c>
      <c r="FY667">
        <v>10</v>
      </c>
      <c r="GA667" t="s">
        <v>3</v>
      </c>
      <c r="GD667">
        <v>0</v>
      </c>
      <c r="GF667">
        <v>340369638</v>
      </c>
      <c r="GG667">
        <v>2</v>
      </c>
      <c r="GH667">
        <v>1</v>
      </c>
      <c r="GI667">
        <v>-2</v>
      </c>
      <c r="GJ667">
        <v>0</v>
      </c>
      <c r="GK667">
        <f>ROUND(R667*(R12)/100,2)</f>
        <v>0</v>
      </c>
      <c r="GL667">
        <f t="shared" si="405"/>
        <v>0</v>
      </c>
      <c r="GM667">
        <f t="shared" si="406"/>
        <v>57.81</v>
      </c>
      <c r="GN667">
        <f t="shared" si="407"/>
        <v>0</v>
      </c>
      <c r="GO667">
        <f t="shared" si="408"/>
        <v>0</v>
      </c>
      <c r="GP667">
        <f t="shared" si="409"/>
        <v>57.81</v>
      </c>
      <c r="GR667">
        <v>0</v>
      </c>
      <c r="GS667">
        <v>3</v>
      </c>
      <c r="GT667">
        <v>0</v>
      </c>
      <c r="GU667" t="s">
        <v>3</v>
      </c>
      <c r="GV667">
        <f t="shared" si="410"/>
        <v>0</v>
      </c>
      <c r="GW667">
        <v>1</v>
      </c>
      <c r="GX667">
        <f t="shared" si="411"/>
        <v>0</v>
      </c>
      <c r="HA667">
        <v>0</v>
      </c>
      <c r="HB667">
        <v>0</v>
      </c>
      <c r="HC667">
        <f t="shared" si="412"/>
        <v>0</v>
      </c>
      <c r="HE667" t="s">
        <v>3</v>
      </c>
      <c r="HF667" t="s">
        <v>3</v>
      </c>
      <c r="HM667" t="s">
        <v>3</v>
      </c>
      <c r="HN667" t="s">
        <v>3</v>
      </c>
      <c r="HO667" t="s">
        <v>3</v>
      </c>
      <c r="HP667" t="s">
        <v>3</v>
      </c>
      <c r="HQ667" t="s">
        <v>3</v>
      </c>
      <c r="IK667">
        <v>0</v>
      </c>
    </row>
    <row r="668" spans="1:245" x14ac:dyDescent="0.2">
      <c r="A668">
        <v>17</v>
      </c>
      <c r="B668">
        <v>1</v>
      </c>
      <c r="C668">
        <f>ROW(SmtRes!A143)</f>
        <v>143</v>
      </c>
      <c r="D668">
        <f>ROW(EtalonRes!A263)</f>
        <v>263</v>
      </c>
      <c r="E668" t="s">
        <v>371</v>
      </c>
      <c r="F668" t="s">
        <v>372</v>
      </c>
      <c r="G668" t="s">
        <v>373</v>
      </c>
      <c r="H668" t="s">
        <v>26</v>
      </c>
      <c r="I668">
        <f>ROUND((1350)*0.1/100,9)</f>
        <v>1.35</v>
      </c>
      <c r="J668">
        <v>0</v>
      </c>
      <c r="K668">
        <f>ROUND((1350)*0.1/100,9)</f>
        <v>1.35</v>
      </c>
      <c r="O668">
        <f t="shared" si="373"/>
        <v>670.63</v>
      </c>
      <c r="P668">
        <f t="shared" si="374"/>
        <v>0</v>
      </c>
      <c r="Q668">
        <f t="shared" si="375"/>
        <v>0</v>
      </c>
      <c r="R668">
        <f t="shared" si="376"/>
        <v>0</v>
      </c>
      <c r="S668">
        <f t="shared" si="377"/>
        <v>670.63</v>
      </c>
      <c r="T668">
        <f t="shared" si="378"/>
        <v>0</v>
      </c>
      <c r="U668">
        <f t="shared" si="379"/>
        <v>0.94499999999999995</v>
      </c>
      <c r="V668">
        <f t="shared" si="380"/>
        <v>0</v>
      </c>
      <c r="W668">
        <f t="shared" si="381"/>
        <v>0</v>
      </c>
      <c r="X668">
        <f t="shared" si="382"/>
        <v>469.44</v>
      </c>
      <c r="Y668">
        <f t="shared" si="383"/>
        <v>67.06</v>
      </c>
      <c r="AA668">
        <v>1473080740</v>
      </c>
      <c r="AB668">
        <f t="shared" si="384"/>
        <v>496.76</v>
      </c>
      <c r="AC668">
        <f t="shared" si="385"/>
        <v>0</v>
      </c>
      <c r="AD668">
        <f t="shared" si="386"/>
        <v>0</v>
      </c>
      <c r="AE668">
        <f t="shared" si="387"/>
        <v>0</v>
      </c>
      <c r="AF668">
        <f t="shared" si="388"/>
        <v>496.76</v>
      </c>
      <c r="AG668">
        <f t="shared" si="389"/>
        <v>0</v>
      </c>
      <c r="AH668">
        <f t="shared" si="390"/>
        <v>0.7</v>
      </c>
      <c r="AI668">
        <f t="shared" si="391"/>
        <v>0</v>
      </c>
      <c r="AJ668">
        <f t="shared" si="392"/>
        <v>0</v>
      </c>
      <c r="AK668">
        <v>496.76</v>
      </c>
      <c r="AL668">
        <v>0</v>
      </c>
      <c r="AM668">
        <v>0</v>
      </c>
      <c r="AN668">
        <v>0</v>
      </c>
      <c r="AO668">
        <v>496.76</v>
      </c>
      <c r="AP668">
        <v>0</v>
      </c>
      <c r="AQ668">
        <v>0.7</v>
      </c>
      <c r="AR668">
        <v>0</v>
      </c>
      <c r="AS668">
        <v>0</v>
      </c>
      <c r="AT668">
        <v>70</v>
      </c>
      <c r="AU668">
        <v>10</v>
      </c>
      <c r="AV668">
        <v>1</v>
      </c>
      <c r="AW668">
        <v>1</v>
      </c>
      <c r="AZ668">
        <v>1</v>
      </c>
      <c r="BA668">
        <v>1</v>
      </c>
      <c r="BB668">
        <v>1</v>
      </c>
      <c r="BC668">
        <v>1</v>
      </c>
      <c r="BD668" t="s">
        <v>3</v>
      </c>
      <c r="BE668" t="s">
        <v>3</v>
      </c>
      <c r="BF668" t="s">
        <v>3</v>
      </c>
      <c r="BG668" t="s">
        <v>3</v>
      </c>
      <c r="BH668">
        <v>0</v>
      </c>
      <c r="BI668">
        <v>4</v>
      </c>
      <c r="BJ668" t="s">
        <v>374</v>
      </c>
      <c r="BM668">
        <v>0</v>
      </c>
      <c r="BN668">
        <v>0</v>
      </c>
      <c r="BO668" t="s">
        <v>3</v>
      </c>
      <c r="BP668">
        <v>0</v>
      </c>
      <c r="BQ668">
        <v>1</v>
      </c>
      <c r="BR668">
        <v>0</v>
      </c>
      <c r="BS668">
        <v>1</v>
      </c>
      <c r="BT668">
        <v>1</v>
      </c>
      <c r="BU668">
        <v>1</v>
      </c>
      <c r="BV668">
        <v>1</v>
      </c>
      <c r="BW668">
        <v>1</v>
      </c>
      <c r="BX668">
        <v>1</v>
      </c>
      <c r="BY668" t="s">
        <v>3</v>
      </c>
      <c r="BZ668">
        <v>70</v>
      </c>
      <c r="CA668">
        <v>10</v>
      </c>
      <c r="CB668" t="s">
        <v>3</v>
      </c>
      <c r="CE668">
        <v>0</v>
      </c>
      <c r="CF668">
        <v>0</v>
      </c>
      <c r="CG668">
        <v>0</v>
      </c>
      <c r="CM668">
        <v>0</v>
      </c>
      <c r="CN668" t="s">
        <v>3</v>
      </c>
      <c r="CO668">
        <v>0</v>
      </c>
      <c r="CP668">
        <f t="shared" si="393"/>
        <v>670.63</v>
      </c>
      <c r="CQ668">
        <f t="shared" si="394"/>
        <v>0</v>
      </c>
      <c r="CR668">
        <f t="shared" si="395"/>
        <v>0</v>
      </c>
      <c r="CS668">
        <f t="shared" si="396"/>
        <v>0</v>
      </c>
      <c r="CT668">
        <f t="shared" si="397"/>
        <v>496.76</v>
      </c>
      <c r="CU668">
        <f t="shared" si="398"/>
        <v>0</v>
      </c>
      <c r="CV668">
        <f t="shared" si="399"/>
        <v>0.7</v>
      </c>
      <c r="CW668">
        <f t="shared" si="400"/>
        <v>0</v>
      </c>
      <c r="CX668">
        <f t="shared" si="401"/>
        <v>0</v>
      </c>
      <c r="CY668">
        <f t="shared" si="402"/>
        <v>469.44099999999997</v>
      </c>
      <c r="CZ668">
        <f t="shared" si="403"/>
        <v>67.063000000000002</v>
      </c>
      <c r="DC668" t="s">
        <v>3</v>
      </c>
      <c r="DD668" t="s">
        <v>3</v>
      </c>
      <c r="DE668" t="s">
        <v>3</v>
      </c>
      <c r="DF668" t="s">
        <v>3</v>
      </c>
      <c r="DG668" t="s">
        <v>3</v>
      </c>
      <c r="DH668" t="s">
        <v>3</v>
      </c>
      <c r="DI668" t="s">
        <v>3</v>
      </c>
      <c r="DJ668" t="s">
        <v>3</v>
      </c>
      <c r="DK668" t="s">
        <v>3</v>
      </c>
      <c r="DL668" t="s">
        <v>3</v>
      </c>
      <c r="DM668" t="s">
        <v>3</v>
      </c>
      <c r="DN668">
        <v>0</v>
      </c>
      <c r="DO668">
        <v>0</v>
      </c>
      <c r="DP668">
        <v>1</v>
      </c>
      <c r="DQ668">
        <v>1</v>
      </c>
      <c r="DU668">
        <v>1003</v>
      </c>
      <c r="DV668" t="s">
        <v>26</v>
      </c>
      <c r="DW668" t="s">
        <v>26</v>
      </c>
      <c r="DX668">
        <v>100</v>
      </c>
      <c r="DZ668" t="s">
        <v>3</v>
      </c>
      <c r="EA668" t="s">
        <v>3</v>
      </c>
      <c r="EB668" t="s">
        <v>3</v>
      </c>
      <c r="EC668" t="s">
        <v>3</v>
      </c>
      <c r="EE668">
        <v>1441815344</v>
      </c>
      <c r="EF668">
        <v>1</v>
      </c>
      <c r="EG668" t="s">
        <v>21</v>
      </c>
      <c r="EH668">
        <v>0</v>
      </c>
      <c r="EI668" t="s">
        <v>3</v>
      </c>
      <c r="EJ668">
        <v>4</v>
      </c>
      <c r="EK668">
        <v>0</v>
      </c>
      <c r="EL668" t="s">
        <v>22</v>
      </c>
      <c r="EM668" t="s">
        <v>23</v>
      </c>
      <c r="EO668" t="s">
        <v>3</v>
      </c>
      <c r="EQ668">
        <v>0</v>
      </c>
      <c r="ER668">
        <v>496.76</v>
      </c>
      <c r="ES668">
        <v>0</v>
      </c>
      <c r="ET668">
        <v>0</v>
      </c>
      <c r="EU668">
        <v>0</v>
      </c>
      <c r="EV668">
        <v>496.76</v>
      </c>
      <c r="EW668">
        <v>0.7</v>
      </c>
      <c r="EX668">
        <v>0</v>
      </c>
      <c r="EY668">
        <v>0</v>
      </c>
      <c r="FQ668">
        <v>0</v>
      </c>
      <c r="FR668">
        <f t="shared" si="404"/>
        <v>0</v>
      </c>
      <c r="FS668">
        <v>0</v>
      </c>
      <c r="FX668">
        <v>70</v>
      </c>
      <c r="FY668">
        <v>10</v>
      </c>
      <c r="GA668" t="s">
        <v>3</v>
      </c>
      <c r="GD668">
        <v>0</v>
      </c>
      <c r="GF668">
        <v>1924834732</v>
      </c>
      <c r="GG668">
        <v>2</v>
      </c>
      <c r="GH668">
        <v>1</v>
      </c>
      <c r="GI668">
        <v>-2</v>
      </c>
      <c r="GJ668">
        <v>0</v>
      </c>
      <c r="GK668">
        <f>ROUND(R668*(R12)/100,2)</f>
        <v>0</v>
      </c>
      <c r="GL668">
        <f t="shared" si="405"/>
        <v>0</v>
      </c>
      <c r="GM668">
        <f t="shared" si="406"/>
        <v>1207.1300000000001</v>
      </c>
      <c r="GN668">
        <f t="shared" si="407"/>
        <v>0</v>
      </c>
      <c r="GO668">
        <f t="shared" si="408"/>
        <v>0</v>
      </c>
      <c r="GP668">
        <f t="shared" si="409"/>
        <v>1207.1300000000001</v>
      </c>
      <c r="GR668">
        <v>0</v>
      </c>
      <c r="GS668">
        <v>3</v>
      </c>
      <c r="GT668">
        <v>0</v>
      </c>
      <c r="GU668" t="s">
        <v>3</v>
      </c>
      <c r="GV668">
        <f t="shared" si="410"/>
        <v>0</v>
      </c>
      <c r="GW668">
        <v>1</v>
      </c>
      <c r="GX668">
        <f t="shared" si="411"/>
        <v>0</v>
      </c>
      <c r="HA668">
        <v>0</v>
      </c>
      <c r="HB668">
        <v>0</v>
      </c>
      <c r="HC668">
        <f t="shared" si="412"/>
        <v>0</v>
      </c>
      <c r="HE668" t="s">
        <v>3</v>
      </c>
      <c r="HF668" t="s">
        <v>3</v>
      </c>
      <c r="HM668" t="s">
        <v>3</v>
      </c>
      <c r="HN668" t="s">
        <v>3</v>
      </c>
      <c r="HO668" t="s">
        <v>3</v>
      </c>
      <c r="HP668" t="s">
        <v>3</v>
      </c>
      <c r="HQ668" t="s">
        <v>3</v>
      </c>
      <c r="IK668">
        <v>0</v>
      </c>
    </row>
    <row r="669" spans="1:245" x14ac:dyDescent="0.2">
      <c r="A669">
        <v>17</v>
      </c>
      <c r="B669">
        <v>1</v>
      </c>
      <c r="D669">
        <f>ROW(EtalonRes!A265)</f>
        <v>265</v>
      </c>
      <c r="E669" t="s">
        <v>375</v>
      </c>
      <c r="F669" t="s">
        <v>358</v>
      </c>
      <c r="G669" t="s">
        <v>376</v>
      </c>
      <c r="H669" t="s">
        <v>26</v>
      </c>
      <c r="I669">
        <f>ROUND(ROUND((430)*0.2*0.1/100,9),9)</f>
        <v>8.5999999999999993E-2</v>
      </c>
      <c r="J669">
        <v>0</v>
      </c>
      <c r="K669">
        <f>ROUND(ROUND((430)*0.2*0.1/100,9),9)</f>
        <v>8.5999999999999993E-2</v>
      </c>
      <c r="O669">
        <f t="shared" si="373"/>
        <v>672.87</v>
      </c>
      <c r="P669">
        <f t="shared" si="374"/>
        <v>1.65</v>
      </c>
      <c r="Q669">
        <f t="shared" si="375"/>
        <v>0</v>
      </c>
      <c r="R669">
        <f t="shared" si="376"/>
        <v>0</v>
      </c>
      <c r="S669">
        <f t="shared" si="377"/>
        <v>671.22</v>
      </c>
      <c r="T669">
        <f t="shared" si="378"/>
        <v>0</v>
      </c>
      <c r="U669">
        <f t="shared" si="379"/>
        <v>1.2538799999999999</v>
      </c>
      <c r="V669">
        <f t="shared" si="380"/>
        <v>0</v>
      </c>
      <c r="W669">
        <f t="shared" si="381"/>
        <v>0</v>
      </c>
      <c r="X669">
        <f t="shared" si="382"/>
        <v>469.85</v>
      </c>
      <c r="Y669">
        <f t="shared" si="383"/>
        <v>67.12</v>
      </c>
      <c r="AA669">
        <v>1473080740</v>
      </c>
      <c r="AB669">
        <f t="shared" si="384"/>
        <v>7824.02</v>
      </c>
      <c r="AC669">
        <f t="shared" si="385"/>
        <v>19.13</v>
      </c>
      <c r="AD669">
        <f t="shared" si="386"/>
        <v>0</v>
      </c>
      <c r="AE669">
        <f t="shared" si="387"/>
        <v>0</v>
      </c>
      <c r="AF669">
        <f t="shared" si="388"/>
        <v>7804.89</v>
      </c>
      <c r="AG669">
        <f t="shared" si="389"/>
        <v>0</v>
      </c>
      <c r="AH669">
        <f t="shared" si="390"/>
        <v>14.58</v>
      </c>
      <c r="AI669">
        <f t="shared" si="391"/>
        <v>0</v>
      </c>
      <c r="AJ669">
        <f t="shared" si="392"/>
        <v>0</v>
      </c>
      <c r="AK669">
        <v>7824.02</v>
      </c>
      <c r="AL669">
        <v>19.13</v>
      </c>
      <c r="AM669">
        <v>0</v>
      </c>
      <c r="AN669">
        <v>0</v>
      </c>
      <c r="AO669">
        <v>7804.89</v>
      </c>
      <c r="AP669">
        <v>0</v>
      </c>
      <c r="AQ669">
        <v>14.58</v>
      </c>
      <c r="AR669">
        <v>0</v>
      </c>
      <c r="AS669">
        <v>0</v>
      </c>
      <c r="AT669">
        <v>70</v>
      </c>
      <c r="AU669">
        <v>10</v>
      </c>
      <c r="AV669">
        <v>1</v>
      </c>
      <c r="AW669">
        <v>1</v>
      </c>
      <c r="AZ669">
        <v>1</v>
      </c>
      <c r="BA669">
        <v>1</v>
      </c>
      <c r="BB669">
        <v>1</v>
      </c>
      <c r="BC669">
        <v>1</v>
      </c>
      <c r="BD669" t="s">
        <v>3</v>
      </c>
      <c r="BE669" t="s">
        <v>3</v>
      </c>
      <c r="BF669" t="s">
        <v>3</v>
      </c>
      <c r="BG669" t="s">
        <v>3</v>
      </c>
      <c r="BH669">
        <v>0</v>
      </c>
      <c r="BI669">
        <v>4</v>
      </c>
      <c r="BJ669" t="s">
        <v>360</v>
      </c>
      <c r="BM669">
        <v>0</v>
      </c>
      <c r="BN669">
        <v>0</v>
      </c>
      <c r="BO669" t="s">
        <v>3</v>
      </c>
      <c r="BP669">
        <v>0</v>
      </c>
      <c r="BQ669">
        <v>1</v>
      </c>
      <c r="BR669">
        <v>0</v>
      </c>
      <c r="BS669">
        <v>1</v>
      </c>
      <c r="BT669">
        <v>1</v>
      </c>
      <c r="BU669">
        <v>1</v>
      </c>
      <c r="BV669">
        <v>1</v>
      </c>
      <c r="BW669">
        <v>1</v>
      </c>
      <c r="BX669">
        <v>1</v>
      </c>
      <c r="BY669" t="s">
        <v>3</v>
      </c>
      <c r="BZ669">
        <v>70</v>
      </c>
      <c r="CA669">
        <v>10</v>
      </c>
      <c r="CB669" t="s">
        <v>3</v>
      </c>
      <c r="CE669">
        <v>0</v>
      </c>
      <c r="CF669">
        <v>0</v>
      </c>
      <c r="CG669">
        <v>0</v>
      </c>
      <c r="CM669">
        <v>0</v>
      </c>
      <c r="CN669" t="s">
        <v>3</v>
      </c>
      <c r="CO669">
        <v>0</v>
      </c>
      <c r="CP669">
        <f t="shared" si="393"/>
        <v>672.87</v>
      </c>
      <c r="CQ669">
        <f t="shared" si="394"/>
        <v>19.13</v>
      </c>
      <c r="CR669">
        <f t="shared" si="395"/>
        <v>0</v>
      </c>
      <c r="CS669">
        <f t="shared" si="396"/>
        <v>0</v>
      </c>
      <c r="CT669">
        <f t="shared" si="397"/>
        <v>7804.89</v>
      </c>
      <c r="CU669">
        <f t="shared" si="398"/>
        <v>0</v>
      </c>
      <c r="CV669">
        <f t="shared" si="399"/>
        <v>14.58</v>
      </c>
      <c r="CW669">
        <f t="shared" si="400"/>
        <v>0</v>
      </c>
      <c r="CX669">
        <f t="shared" si="401"/>
        <v>0</v>
      </c>
      <c r="CY669">
        <f t="shared" si="402"/>
        <v>469.85400000000004</v>
      </c>
      <c r="CZ669">
        <f t="shared" si="403"/>
        <v>67.122000000000014</v>
      </c>
      <c r="DC669" t="s">
        <v>3</v>
      </c>
      <c r="DD669" t="s">
        <v>3</v>
      </c>
      <c r="DE669" t="s">
        <v>3</v>
      </c>
      <c r="DF669" t="s">
        <v>3</v>
      </c>
      <c r="DG669" t="s">
        <v>3</v>
      </c>
      <c r="DH669" t="s">
        <v>3</v>
      </c>
      <c r="DI669" t="s">
        <v>3</v>
      </c>
      <c r="DJ669" t="s">
        <v>3</v>
      </c>
      <c r="DK669" t="s">
        <v>3</v>
      </c>
      <c r="DL669" t="s">
        <v>3</v>
      </c>
      <c r="DM669" t="s">
        <v>3</v>
      </c>
      <c r="DN669">
        <v>0</v>
      </c>
      <c r="DO669">
        <v>0</v>
      </c>
      <c r="DP669">
        <v>1</v>
      </c>
      <c r="DQ669">
        <v>1</v>
      </c>
      <c r="DU669">
        <v>1003</v>
      </c>
      <c r="DV669" t="s">
        <v>26</v>
      </c>
      <c r="DW669" t="s">
        <v>26</v>
      </c>
      <c r="DX669">
        <v>100</v>
      </c>
      <c r="DZ669" t="s">
        <v>3</v>
      </c>
      <c r="EA669" t="s">
        <v>3</v>
      </c>
      <c r="EB669" t="s">
        <v>3</v>
      </c>
      <c r="EC669" t="s">
        <v>3</v>
      </c>
      <c r="EE669">
        <v>1441815344</v>
      </c>
      <c r="EF669">
        <v>1</v>
      </c>
      <c r="EG669" t="s">
        <v>21</v>
      </c>
      <c r="EH669">
        <v>0</v>
      </c>
      <c r="EI669" t="s">
        <v>3</v>
      </c>
      <c r="EJ669">
        <v>4</v>
      </c>
      <c r="EK669">
        <v>0</v>
      </c>
      <c r="EL669" t="s">
        <v>22</v>
      </c>
      <c r="EM669" t="s">
        <v>23</v>
      </c>
      <c r="EO669" t="s">
        <v>3</v>
      </c>
      <c r="EQ669">
        <v>0</v>
      </c>
      <c r="ER669">
        <v>7824.02</v>
      </c>
      <c r="ES669">
        <v>19.13</v>
      </c>
      <c r="ET669">
        <v>0</v>
      </c>
      <c r="EU669">
        <v>0</v>
      </c>
      <c r="EV669">
        <v>7804.89</v>
      </c>
      <c r="EW669">
        <v>14.58</v>
      </c>
      <c r="EX669">
        <v>0</v>
      </c>
      <c r="EY669">
        <v>0</v>
      </c>
      <c r="FQ669">
        <v>0</v>
      </c>
      <c r="FR669">
        <f t="shared" si="404"/>
        <v>0</v>
      </c>
      <c r="FS669">
        <v>0</v>
      </c>
      <c r="FX669">
        <v>70</v>
      </c>
      <c r="FY669">
        <v>10</v>
      </c>
      <c r="GA669" t="s">
        <v>3</v>
      </c>
      <c r="GD669">
        <v>0</v>
      </c>
      <c r="GF669">
        <v>913666960</v>
      </c>
      <c r="GG669">
        <v>2</v>
      </c>
      <c r="GH669">
        <v>1</v>
      </c>
      <c r="GI669">
        <v>-2</v>
      </c>
      <c r="GJ669">
        <v>0</v>
      </c>
      <c r="GK669">
        <f>ROUND(R669*(R12)/100,2)</f>
        <v>0</v>
      </c>
      <c r="GL669">
        <f t="shared" si="405"/>
        <v>0</v>
      </c>
      <c r="GM669">
        <f t="shared" si="406"/>
        <v>1209.8399999999999</v>
      </c>
      <c r="GN669">
        <f t="shared" si="407"/>
        <v>0</v>
      </c>
      <c r="GO669">
        <f t="shared" si="408"/>
        <v>0</v>
      </c>
      <c r="GP669">
        <f t="shared" si="409"/>
        <v>1209.8399999999999</v>
      </c>
      <c r="GR669">
        <v>0</v>
      </c>
      <c r="GS669">
        <v>3</v>
      </c>
      <c r="GT669">
        <v>0</v>
      </c>
      <c r="GU669" t="s">
        <v>3</v>
      </c>
      <c r="GV669">
        <f t="shared" si="410"/>
        <v>0</v>
      </c>
      <c r="GW669">
        <v>1</v>
      </c>
      <c r="GX669">
        <f t="shared" si="411"/>
        <v>0</v>
      </c>
      <c r="HA669">
        <v>0</v>
      </c>
      <c r="HB669">
        <v>0</v>
      </c>
      <c r="HC669">
        <f t="shared" si="412"/>
        <v>0</v>
      </c>
      <c r="HE669" t="s">
        <v>3</v>
      </c>
      <c r="HF669" t="s">
        <v>3</v>
      </c>
      <c r="HM669" t="s">
        <v>3</v>
      </c>
      <c r="HN669" t="s">
        <v>3</v>
      </c>
      <c r="HO669" t="s">
        <v>3</v>
      </c>
      <c r="HP669" t="s">
        <v>3</v>
      </c>
      <c r="HQ669" t="s">
        <v>3</v>
      </c>
      <c r="IK669">
        <v>0</v>
      </c>
    </row>
    <row r="670" spans="1:245" x14ac:dyDescent="0.2">
      <c r="A670">
        <v>17</v>
      </c>
      <c r="B670">
        <v>1</v>
      </c>
      <c r="D670">
        <f>ROW(EtalonRes!A267)</f>
        <v>267</v>
      </c>
      <c r="E670" t="s">
        <v>377</v>
      </c>
      <c r="F670" t="s">
        <v>362</v>
      </c>
      <c r="G670" t="s">
        <v>378</v>
      </c>
      <c r="H670" t="s">
        <v>26</v>
      </c>
      <c r="I670">
        <f>ROUND(ROUND((430)*0.2*0.1/100,9),9)</f>
        <v>8.5999999999999993E-2</v>
      </c>
      <c r="J670">
        <v>0</v>
      </c>
      <c r="K670">
        <f>ROUND(ROUND((430)*0.2*0.1/100,9),9)</f>
        <v>8.5999999999999993E-2</v>
      </c>
      <c r="O670">
        <f t="shared" si="373"/>
        <v>149.52000000000001</v>
      </c>
      <c r="P670">
        <f t="shared" si="374"/>
        <v>0.36</v>
      </c>
      <c r="Q670">
        <f t="shared" si="375"/>
        <v>0</v>
      </c>
      <c r="R670">
        <f t="shared" si="376"/>
        <v>0</v>
      </c>
      <c r="S670">
        <f t="shared" si="377"/>
        <v>149.16</v>
      </c>
      <c r="T670">
        <f t="shared" si="378"/>
        <v>0</v>
      </c>
      <c r="U670">
        <f t="shared" si="379"/>
        <v>0.27864</v>
      </c>
      <c r="V670">
        <f t="shared" si="380"/>
        <v>0</v>
      </c>
      <c r="W670">
        <f t="shared" si="381"/>
        <v>0</v>
      </c>
      <c r="X670">
        <f t="shared" si="382"/>
        <v>104.41</v>
      </c>
      <c r="Y670">
        <f t="shared" si="383"/>
        <v>14.92</v>
      </c>
      <c r="AA670">
        <v>1473080740</v>
      </c>
      <c r="AB670">
        <f t="shared" si="384"/>
        <v>1738.55</v>
      </c>
      <c r="AC670">
        <f t="shared" si="385"/>
        <v>4.13</v>
      </c>
      <c r="AD670">
        <f t="shared" si="386"/>
        <v>0</v>
      </c>
      <c r="AE670">
        <f t="shared" si="387"/>
        <v>0</v>
      </c>
      <c r="AF670">
        <f t="shared" si="388"/>
        <v>1734.42</v>
      </c>
      <c r="AG670">
        <f t="shared" si="389"/>
        <v>0</v>
      </c>
      <c r="AH670">
        <f t="shared" si="390"/>
        <v>3.24</v>
      </c>
      <c r="AI670">
        <f t="shared" si="391"/>
        <v>0</v>
      </c>
      <c r="AJ670">
        <f t="shared" si="392"/>
        <v>0</v>
      </c>
      <c r="AK670">
        <v>1738.55</v>
      </c>
      <c r="AL670">
        <v>4.13</v>
      </c>
      <c r="AM670">
        <v>0</v>
      </c>
      <c r="AN670">
        <v>0</v>
      </c>
      <c r="AO670">
        <v>1734.42</v>
      </c>
      <c r="AP670">
        <v>0</v>
      </c>
      <c r="AQ670">
        <v>3.24</v>
      </c>
      <c r="AR670">
        <v>0</v>
      </c>
      <c r="AS670">
        <v>0</v>
      </c>
      <c r="AT670">
        <v>70</v>
      </c>
      <c r="AU670">
        <v>10</v>
      </c>
      <c r="AV670">
        <v>1</v>
      </c>
      <c r="AW670">
        <v>1</v>
      </c>
      <c r="AZ670">
        <v>1</v>
      </c>
      <c r="BA670">
        <v>1</v>
      </c>
      <c r="BB670">
        <v>1</v>
      </c>
      <c r="BC670">
        <v>1</v>
      </c>
      <c r="BD670" t="s">
        <v>3</v>
      </c>
      <c r="BE670" t="s">
        <v>3</v>
      </c>
      <c r="BF670" t="s">
        <v>3</v>
      </c>
      <c r="BG670" t="s">
        <v>3</v>
      </c>
      <c r="BH670">
        <v>0</v>
      </c>
      <c r="BI670">
        <v>4</v>
      </c>
      <c r="BJ670" t="s">
        <v>364</v>
      </c>
      <c r="BM670">
        <v>0</v>
      </c>
      <c r="BN670">
        <v>0</v>
      </c>
      <c r="BO670" t="s">
        <v>3</v>
      </c>
      <c r="BP670">
        <v>0</v>
      </c>
      <c r="BQ670">
        <v>1</v>
      </c>
      <c r="BR670">
        <v>0</v>
      </c>
      <c r="BS670">
        <v>1</v>
      </c>
      <c r="BT670">
        <v>1</v>
      </c>
      <c r="BU670">
        <v>1</v>
      </c>
      <c r="BV670">
        <v>1</v>
      </c>
      <c r="BW670">
        <v>1</v>
      </c>
      <c r="BX670">
        <v>1</v>
      </c>
      <c r="BY670" t="s">
        <v>3</v>
      </c>
      <c r="BZ670">
        <v>70</v>
      </c>
      <c r="CA670">
        <v>10</v>
      </c>
      <c r="CB670" t="s">
        <v>3</v>
      </c>
      <c r="CE670">
        <v>0</v>
      </c>
      <c r="CF670">
        <v>0</v>
      </c>
      <c r="CG670">
        <v>0</v>
      </c>
      <c r="CM670">
        <v>0</v>
      </c>
      <c r="CN670" t="s">
        <v>3</v>
      </c>
      <c r="CO670">
        <v>0</v>
      </c>
      <c r="CP670">
        <f t="shared" si="393"/>
        <v>149.52000000000001</v>
      </c>
      <c r="CQ670">
        <f t="shared" si="394"/>
        <v>4.13</v>
      </c>
      <c r="CR670">
        <f t="shared" si="395"/>
        <v>0</v>
      </c>
      <c r="CS670">
        <f t="shared" si="396"/>
        <v>0</v>
      </c>
      <c r="CT670">
        <f t="shared" si="397"/>
        <v>1734.42</v>
      </c>
      <c r="CU670">
        <f t="shared" si="398"/>
        <v>0</v>
      </c>
      <c r="CV670">
        <f t="shared" si="399"/>
        <v>3.24</v>
      </c>
      <c r="CW670">
        <f t="shared" si="400"/>
        <v>0</v>
      </c>
      <c r="CX670">
        <f t="shared" si="401"/>
        <v>0</v>
      </c>
      <c r="CY670">
        <f t="shared" si="402"/>
        <v>104.41199999999999</v>
      </c>
      <c r="CZ670">
        <f t="shared" si="403"/>
        <v>14.915999999999999</v>
      </c>
      <c r="DC670" t="s">
        <v>3</v>
      </c>
      <c r="DD670" t="s">
        <v>3</v>
      </c>
      <c r="DE670" t="s">
        <v>3</v>
      </c>
      <c r="DF670" t="s">
        <v>3</v>
      </c>
      <c r="DG670" t="s">
        <v>3</v>
      </c>
      <c r="DH670" t="s">
        <v>3</v>
      </c>
      <c r="DI670" t="s">
        <v>3</v>
      </c>
      <c r="DJ670" t="s">
        <v>3</v>
      </c>
      <c r="DK670" t="s">
        <v>3</v>
      </c>
      <c r="DL670" t="s">
        <v>3</v>
      </c>
      <c r="DM670" t="s">
        <v>3</v>
      </c>
      <c r="DN670">
        <v>0</v>
      </c>
      <c r="DO670">
        <v>0</v>
      </c>
      <c r="DP670">
        <v>1</v>
      </c>
      <c r="DQ670">
        <v>1</v>
      </c>
      <c r="DU670">
        <v>1003</v>
      </c>
      <c r="DV670" t="s">
        <v>26</v>
      </c>
      <c r="DW670" t="s">
        <v>26</v>
      </c>
      <c r="DX670">
        <v>100</v>
      </c>
      <c r="DZ670" t="s">
        <v>3</v>
      </c>
      <c r="EA670" t="s">
        <v>3</v>
      </c>
      <c r="EB670" t="s">
        <v>3</v>
      </c>
      <c r="EC670" t="s">
        <v>3</v>
      </c>
      <c r="EE670">
        <v>1441815344</v>
      </c>
      <c r="EF670">
        <v>1</v>
      </c>
      <c r="EG670" t="s">
        <v>21</v>
      </c>
      <c r="EH670">
        <v>0</v>
      </c>
      <c r="EI670" t="s">
        <v>3</v>
      </c>
      <c r="EJ670">
        <v>4</v>
      </c>
      <c r="EK670">
        <v>0</v>
      </c>
      <c r="EL670" t="s">
        <v>22</v>
      </c>
      <c r="EM670" t="s">
        <v>23</v>
      </c>
      <c r="EO670" t="s">
        <v>3</v>
      </c>
      <c r="EQ670">
        <v>0</v>
      </c>
      <c r="ER670">
        <v>1738.55</v>
      </c>
      <c r="ES670">
        <v>4.13</v>
      </c>
      <c r="ET670">
        <v>0</v>
      </c>
      <c r="EU670">
        <v>0</v>
      </c>
      <c r="EV670">
        <v>1734.42</v>
      </c>
      <c r="EW670">
        <v>3.24</v>
      </c>
      <c r="EX670">
        <v>0</v>
      </c>
      <c r="EY670">
        <v>0</v>
      </c>
      <c r="FQ670">
        <v>0</v>
      </c>
      <c r="FR670">
        <f t="shared" si="404"/>
        <v>0</v>
      </c>
      <c r="FS670">
        <v>0</v>
      </c>
      <c r="FX670">
        <v>70</v>
      </c>
      <c r="FY670">
        <v>10</v>
      </c>
      <c r="GA670" t="s">
        <v>3</v>
      </c>
      <c r="GD670">
        <v>0</v>
      </c>
      <c r="GF670">
        <v>-36590595</v>
      </c>
      <c r="GG670">
        <v>2</v>
      </c>
      <c r="GH670">
        <v>1</v>
      </c>
      <c r="GI670">
        <v>-2</v>
      </c>
      <c r="GJ670">
        <v>0</v>
      </c>
      <c r="GK670">
        <f>ROUND(R670*(R12)/100,2)</f>
        <v>0</v>
      </c>
      <c r="GL670">
        <f t="shared" si="405"/>
        <v>0</v>
      </c>
      <c r="GM670">
        <f t="shared" si="406"/>
        <v>268.85000000000002</v>
      </c>
      <c r="GN670">
        <f t="shared" si="407"/>
        <v>0</v>
      </c>
      <c r="GO670">
        <f t="shared" si="408"/>
        <v>0</v>
      </c>
      <c r="GP670">
        <f t="shared" si="409"/>
        <v>268.85000000000002</v>
      </c>
      <c r="GR670">
        <v>0</v>
      </c>
      <c r="GS670">
        <v>3</v>
      </c>
      <c r="GT670">
        <v>0</v>
      </c>
      <c r="GU670" t="s">
        <v>3</v>
      </c>
      <c r="GV670">
        <f t="shared" si="410"/>
        <v>0</v>
      </c>
      <c r="GW670">
        <v>1</v>
      </c>
      <c r="GX670">
        <f t="shared" si="411"/>
        <v>0</v>
      </c>
      <c r="HA670">
        <v>0</v>
      </c>
      <c r="HB670">
        <v>0</v>
      </c>
      <c r="HC670">
        <f t="shared" si="412"/>
        <v>0</v>
      </c>
      <c r="HE670" t="s">
        <v>3</v>
      </c>
      <c r="HF670" t="s">
        <v>3</v>
      </c>
      <c r="HM670" t="s">
        <v>3</v>
      </c>
      <c r="HN670" t="s">
        <v>3</v>
      </c>
      <c r="HO670" t="s">
        <v>3</v>
      </c>
      <c r="HP670" t="s">
        <v>3</v>
      </c>
      <c r="HQ670" t="s">
        <v>3</v>
      </c>
      <c r="IK670">
        <v>0</v>
      </c>
    </row>
    <row r="671" spans="1:245" x14ac:dyDescent="0.2">
      <c r="A671">
        <v>17</v>
      </c>
      <c r="B671">
        <v>1</v>
      </c>
      <c r="C671">
        <f>ROW(SmtRes!A147)</f>
        <v>147</v>
      </c>
      <c r="D671">
        <f>ROW(EtalonRes!A268)</f>
        <v>268</v>
      </c>
      <c r="E671" t="s">
        <v>379</v>
      </c>
      <c r="F671" t="s">
        <v>372</v>
      </c>
      <c r="G671" t="s">
        <v>380</v>
      </c>
      <c r="H671" t="s">
        <v>26</v>
      </c>
      <c r="I671">
        <f>ROUND(250*0.1/100,9)</f>
        <v>0.25</v>
      </c>
      <c r="J671">
        <v>0</v>
      </c>
      <c r="K671">
        <f>ROUND(250*0.1/100,9)</f>
        <v>0.25</v>
      </c>
      <c r="O671">
        <f t="shared" si="373"/>
        <v>124.19</v>
      </c>
      <c r="P671">
        <f t="shared" si="374"/>
        <v>0</v>
      </c>
      <c r="Q671">
        <f t="shared" si="375"/>
        <v>0</v>
      </c>
      <c r="R671">
        <f t="shared" si="376"/>
        <v>0</v>
      </c>
      <c r="S671">
        <f t="shared" si="377"/>
        <v>124.19</v>
      </c>
      <c r="T671">
        <f t="shared" si="378"/>
        <v>0</v>
      </c>
      <c r="U671">
        <f t="shared" si="379"/>
        <v>0.17499999999999999</v>
      </c>
      <c r="V671">
        <f t="shared" si="380"/>
        <v>0</v>
      </c>
      <c r="W671">
        <f t="shared" si="381"/>
        <v>0</v>
      </c>
      <c r="X671">
        <f t="shared" si="382"/>
        <v>86.93</v>
      </c>
      <c r="Y671">
        <f t="shared" si="383"/>
        <v>12.42</v>
      </c>
      <c r="AA671">
        <v>1473080740</v>
      </c>
      <c r="AB671">
        <f t="shared" si="384"/>
        <v>496.76</v>
      </c>
      <c r="AC671">
        <f t="shared" si="385"/>
        <v>0</v>
      </c>
      <c r="AD671">
        <f t="shared" si="386"/>
        <v>0</v>
      </c>
      <c r="AE671">
        <f t="shared" si="387"/>
        <v>0</v>
      </c>
      <c r="AF671">
        <f t="shared" si="388"/>
        <v>496.76</v>
      </c>
      <c r="AG671">
        <f t="shared" si="389"/>
        <v>0</v>
      </c>
      <c r="AH671">
        <f t="shared" si="390"/>
        <v>0.7</v>
      </c>
      <c r="AI671">
        <f t="shared" si="391"/>
        <v>0</v>
      </c>
      <c r="AJ671">
        <f t="shared" si="392"/>
        <v>0</v>
      </c>
      <c r="AK671">
        <v>496.76</v>
      </c>
      <c r="AL671">
        <v>0</v>
      </c>
      <c r="AM671">
        <v>0</v>
      </c>
      <c r="AN671">
        <v>0</v>
      </c>
      <c r="AO671">
        <v>496.76</v>
      </c>
      <c r="AP671">
        <v>0</v>
      </c>
      <c r="AQ671">
        <v>0.7</v>
      </c>
      <c r="AR671">
        <v>0</v>
      </c>
      <c r="AS671">
        <v>0</v>
      </c>
      <c r="AT671">
        <v>70</v>
      </c>
      <c r="AU671">
        <v>10</v>
      </c>
      <c r="AV671">
        <v>1</v>
      </c>
      <c r="AW671">
        <v>1</v>
      </c>
      <c r="AZ671">
        <v>1</v>
      </c>
      <c r="BA671">
        <v>1</v>
      </c>
      <c r="BB671">
        <v>1</v>
      </c>
      <c r="BC671">
        <v>1</v>
      </c>
      <c r="BD671" t="s">
        <v>3</v>
      </c>
      <c r="BE671" t="s">
        <v>3</v>
      </c>
      <c r="BF671" t="s">
        <v>3</v>
      </c>
      <c r="BG671" t="s">
        <v>3</v>
      </c>
      <c r="BH671">
        <v>0</v>
      </c>
      <c r="BI671">
        <v>4</v>
      </c>
      <c r="BJ671" t="s">
        <v>374</v>
      </c>
      <c r="BM671">
        <v>0</v>
      </c>
      <c r="BN671">
        <v>0</v>
      </c>
      <c r="BO671" t="s">
        <v>3</v>
      </c>
      <c r="BP671">
        <v>0</v>
      </c>
      <c r="BQ671">
        <v>1</v>
      </c>
      <c r="BR671">
        <v>0</v>
      </c>
      <c r="BS671">
        <v>1</v>
      </c>
      <c r="BT671">
        <v>1</v>
      </c>
      <c r="BU671">
        <v>1</v>
      </c>
      <c r="BV671">
        <v>1</v>
      </c>
      <c r="BW671">
        <v>1</v>
      </c>
      <c r="BX671">
        <v>1</v>
      </c>
      <c r="BY671" t="s">
        <v>3</v>
      </c>
      <c r="BZ671">
        <v>70</v>
      </c>
      <c r="CA671">
        <v>10</v>
      </c>
      <c r="CB671" t="s">
        <v>3</v>
      </c>
      <c r="CE671">
        <v>0</v>
      </c>
      <c r="CF671">
        <v>0</v>
      </c>
      <c r="CG671">
        <v>0</v>
      </c>
      <c r="CM671">
        <v>0</v>
      </c>
      <c r="CN671" t="s">
        <v>3</v>
      </c>
      <c r="CO671">
        <v>0</v>
      </c>
      <c r="CP671">
        <f t="shared" si="393"/>
        <v>124.19</v>
      </c>
      <c r="CQ671">
        <f t="shared" si="394"/>
        <v>0</v>
      </c>
      <c r="CR671">
        <f t="shared" si="395"/>
        <v>0</v>
      </c>
      <c r="CS671">
        <f t="shared" si="396"/>
        <v>0</v>
      </c>
      <c r="CT671">
        <f t="shared" si="397"/>
        <v>496.76</v>
      </c>
      <c r="CU671">
        <f t="shared" si="398"/>
        <v>0</v>
      </c>
      <c r="CV671">
        <f t="shared" si="399"/>
        <v>0.7</v>
      </c>
      <c r="CW671">
        <f t="shared" si="400"/>
        <v>0</v>
      </c>
      <c r="CX671">
        <f t="shared" si="401"/>
        <v>0</v>
      </c>
      <c r="CY671">
        <f t="shared" si="402"/>
        <v>86.932999999999993</v>
      </c>
      <c r="CZ671">
        <f t="shared" si="403"/>
        <v>12.419</v>
      </c>
      <c r="DC671" t="s">
        <v>3</v>
      </c>
      <c r="DD671" t="s">
        <v>3</v>
      </c>
      <c r="DE671" t="s">
        <v>3</v>
      </c>
      <c r="DF671" t="s">
        <v>3</v>
      </c>
      <c r="DG671" t="s">
        <v>3</v>
      </c>
      <c r="DH671" t="s">
        <v>3</v>
      </c>
      <c r="DI671" t="s">
        <v>3</v>
      </c>
      <c r="DJ671" t="s">
        <v>3</v>
      </c>
      <c r="DK671" t="s">
        <v>3</v>
      </c>
      <c r="DL671" t="s">
        <v>3</v>
      </c>
      <c r="DM671" t="s">
        <v>3</v>
      </c>
      <c r="DN671">
        <v>0</v>
      </c>
      <c r="DO671">
        <v>0</v>
      </c>
      <c r="DP671">
        <v>1</v>
      </c>
      <c r="DQ671">
        <v>1</v>
      </c>
      <c r="DU671">
        <v>1003</v>
      </c>
      <c r="DV671" t="s">
        <v>26</v>
      </c>
      <c r="DW671" t="s">
        <v>26</v>
      </c>
      <c r="DX671">
        <v>100</v>
      </c>
      <c r="DZ671" t="s">
        <v>3</v>
      </c>
      <c r="EA671" t="s">
        <v>3</v>
      </c>
      <c r="EB671" t="s">
        <v>3</v>
      </c>
      <c r="EC671" t="s">
        <v>3</v>
      </c>
      <c r="EE671">
        <v>1441815344</v>
      </c>
      <c r="EF671">
        <v>1</v>
      </c>
      <c r="EG671" t="s">
        <v>21</v>
      </c>
      <c r="EH671">
        <v>0</v>
      </c>
      <c r="EI671" t="s">
        <v>3</v>
      </c>
      <c r="EJ671">
        <v>4</v>
      </c>
      <c r="EK671">
        <v>0</v>
      </c>
      <c r="EL671" t="s">
        <v>22</v>
      </c>
      <c r="EM671" t="s">
        <v>23</v>
      </c>
      <c r="EO671" t="s">
        <v>3</v>
      </c>
      <c r="EQ671">
        <v>0</v>
      </c>
      <c r="ER671">
        <v>496.76</v>
      </c>
      <c r="ES671">
        <v>0</v>
      </c>
      <c r="ET671">
        <v>0</v>
      </c>
      <c r="EU671">
        <v>0</v>
      </c>
      <c r="EV671">
        <v>496.76</v>
      </c>
      <c r="EW671">
        <v>0.7</v>
      </c>
      <c r="EX671">
        <v>0</v>
      </c>
      <c r="EY671">
        <v>0</v>
      </c>
      <c r="FQ671">
        <v>0</v>
      </c>
      <c r="FR671">
        <f t="shared" si="404"/>
        <v>0</v>
      </c>
      <c r="FS671">
        <v>0</v>
      </c>
      <c r="FX671">
        <v>70</v>
      </c>
      <c r="FY671">
        <v>10</v>
      </c>
      <c r="GA671" t="s">
        <v>3</v>
      </c>
      <c r="GD671">
        <v>0</v>
      </c>
      <c r="GF671">
        <v>413823257</v>
      </c>
      <c r="GG671">
        <v>2</v>
      </c>
      <c r="GH671">
        <v>1</v>
      </c>
      <c r="GI671">
        <v>-2</v>
      </c>
      <c r="GJ671">
        <v>0</v>
      </c>
      <c r="GK671">
        <f>ROUND(R671*(R12)/100,2)</f>
        <v>0</v>
      </c>
      <c r="GL671">
        <f t="shared" si="405"/>
        <v>0</v>
      </c>
      <c r="GM671">
        <f t="shared" si="406"/>
        <v>223.54</v>
      </c>
      <c r="GN671">
        <f t="shared" si="407"/>
        <v>0</v>
      </c>
      <c r="GO671">
        <f t="shared" si="408"/>
        <v>0</v>
      </c>
      <c r="GP671">
        <f t="shared" si="409"/>
        <v>223.54</v>
      </c>
      <c r="GR671">
        <v>0</v>
      </c>
      <c r="GS671">
        <v>3</v>
      </c>
      <c r="GT671">
        <v>0</v>
      </c>
      <c r="GU671" t="s">
        <v>3</v>
      </c>
      <c r="GV671">
        <f t="shared" si="410"/>
        <v>0</v>
      </c>
      <c r="GW671">
        <v>1</v>
      </c>
      <c r="GX671">
        <f t="shared" si="411"/>
        <v>0</v>
      </c>
      <c r="HA671">
        <v>0</v>
      </c>
      <c r="HB671">
        <v>0</v>
      </c>
      <c r="HC671">
        <f t="shared" si="412"/>
        <v>0</v>
      </c>
      <c r="HE671" t="s">
        <v>3</v>
      </c>
      <c r="HF671" t="s">
        <v>3</v>
      </c>
      <c r="HM671" t="s">
        <v>3</v>
      </c>
      <c r="HN671" t="s">
        <v>3</v>
      </c>
      <c r="HO671" t="s">
        <v>3</v>
      </c>
      <c r="HP671" t="s">
        <v>3</v>
      </c>
      <c r="HQ671" t="s">
        <v>3</v>
      </c>
      <c r="IK671">
        <v>0</v>
      </c>
    </row>
    <row r="673" spans="1:206" x14ac:dyDescent="0.2">
      <c r="A673" s="2">
        <v>51</v>
      </c>
      <c r="B673" s="2">
        <f>B649</f>
        <v>1</v>
      </c>
      <c r="C673" s="2">
        <f>A649</f>
        <v>5</v>
      </c>
      <c r="D673" s="2">
        <f>ROW(A649)</f>
        <v>649</v>
      </c>
      <c r="E673" s="2"/>
      <c r="F673" s="2" t="str">
        <f>IF(F649&lt;&gt;"",F649,"")</f>
        <v>Новый подраздел</v>
      </c>
      <c r="G673" s="2" t="str">
        <f>IF(G649&lt;&gt;"",G649,"")</f>
        <v>Кабели и провода</v>
      </c>
      <c r="H673" s="2">
        <v>0</v>
      </c>
      <c r="I673" s="2"/>
      <c r="J673" s="2"/>
      <c r="K673" s="2"/>
      <c r="L673" s="2"/>
      <c r="M673" s="2"/>
      <c r="N673" s="2"/>
      <c r="O673" s="2">
        <f t="shared" ref="O673:T673" si="413">ROUND(AB673,2)</f>
        <v>9358.76</v>
      </c>
      <c r="P673" s="2">
        <f t="shared" si="413"/>
        <v>34.08</v>
      </c>
      <c r="Q673" s="2">
        <f t="shared" si="413"/>
        <v>0</v>
      </c>
      <c r="R673" s="2">
        <f t="shared" si="413"/>
        <v>0</v>
      </c>
      <c r="S673" s="2">
        <f t="shared" si="413"/>
        <v>9324.68</v>
      </c>
      <c r="T673" s="2">
        <f t="shared" si="413"/>
        <v>0</v>
      </c>
      <c r="U673" s="2">
        <f>AH673</f>
        <v>17.054279999999999</v>
      </c>
      <c r="V673" s="2">
        <f>AI673</f>
        <v>0</v>
      </c>
      <c r="W673" s="2">
        <f>ROUND(AJ673,2)</f>
        <v>0</v>
      </c>
      <c r="X673" s="2">
        <f>ROUND(AK673,2)</f>
        <v>6527.28</v>
      </c>
      <c r="Y673" s="2">
        <f>ROUND(AL673,2)</f>
        <v>932.47</v>
      </c>
      <c r="Z673" s="2"/>
      <c r="AA673" s="2"/>
      <c r="AB673" s="2">
        <f>ROUND(SUMIF(AA653:AA671,"=1473080740",O653:O671),2)</f>
        <v>9358.76</v>
      </c>
      <c r="AC673" s="2">
        <f>ROUND(SUMIF(AA653:AA671,"=1473080740",P653:P671),2)</f>
        <v>34.08</v>
      </c>
      <c r="AD673" s="2">
        <f>ROUND(SUMIF(AA653:AA671,"=1473080740",Q653:Q671),2)</f>
        <v>0</v>
      </c>
      <c r="AE673" s="2">
        <f>ROUND(SUMIF(AA653:AA671,"=1473080740",R653:R671),2)</f>
        <v>0</v>
      </c>
      <c r="AF673" s="2">
        <f>ROUND(SUMIF(AA653:AA671,"=1473080740",S653:S671),2)</f>
        <v>9324.68</v>
      </c>
      <c r="AG673" s="2">
        <f>ROUND(SUMIF(AA653:AA671,"=1473080740",T653:T671),2)</f>
        <v>0</v>
      </c>
      <c r="AH673" s="2">
        <f>SUMIF(AA653:AA671,"=1473080740",U653:U671)</f>
        <v>17.054279999999999</v>
      </c>
      <c r="AI673" s="2">
        <f>SUMIF(AA653:AA671,"=1473080740",V653:V671)</f>
        <v>0</v>
      </c>
      <c r="AJ673" s="2">
        <f>ROUND(SUMIF(AA653:AA671,"=1473080740",W653:W671),2)</f>
        <v>0</v>
      </c>
      <c r="AK673" s="2">
        <f>ROUND(SUMIF(AA653:AA671,"=1473080740",X653:X671),2)</f>
        <v>6527.28</v>
      </c>
      <c r="AL673" s="2">
        <f>ROUND(SUMIF(AA653:AA671,"=1473080740",Y653:Y671),2)</f>
        <v>932.47</v>
      </c>
      <c r="AM673" s="2"/>
      <c r="AN673" s="2"/>
      <c r="AO673" s="2">
        <f t="shared" ref="AO673:BD673" si="414">ROUND(BX673,2)</f>
        <v>0</v>
      </c>
      <c r="AP673" s="2">
        <f t="shared" si="414"/>
        <v>0</v>
      </c>
      <c r="AQ673" s="2">
        <f t="shared" si="414"/>
        <v>0</v>
      </c>
      <c r="AR673" s="2">
        <f t="shared" si="414"/>
        <v>16818.509999999998</v>
      </c>
      <c r="AS673" s="2">
        <f t="shared" si="414"/>
        <v>0</v>
      </c>
      <c r="AT673" s="2">
        <f t="shared" si="414"/>
        <v>0</v>
      </c>
      <c r="AU673" s="2">
        <f t="shared" si="414"/>
        <v>16818.509999999998</v>
      </c>
      <c r="AV673" s="2">
        <f t="shared" si="414"/>
        <v>34.08</v>
      </c>
      <c r="AW673" s="2">
        <f t="shared" si="414"/>
        <v>34.08</v>
      </c>
      <c r="AX673" s="2">
        <f t="shared" si="414"/>
        <v>0</v>
      </c>
      <c r="AY673" s="2">
        <f t="shared" si="414"/>
        <v>34.08</v>
      </c>
      <c r="AZ673" s="2">
        <f t="shared" si="414"/>
        <v>0</v>
      </c>
      <c r="BA673" s="2">
        <f t="shared" si="414"/>
        <v>0</v>
      </c>
      <c r="BB673" s="2">
        <f t="shared" si="414"/>
        <v>0</v>
      </c>
      <c r="BC673" s="2">
        <f t="shared" si="414"/>
        <v>0</v>
      </c>
      <c r="BD673" s="2">
        <f t="shared" si="414"/>
        <v>0</v>
      </c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>
        <f>ROUND(SUMIF(AA653:AA671,"=1473080740",FQ653:FQ671),2)</f>
        <v>0</v>
      </c>
      <c r="BY673" s="2">
        <f>ROUND(SUMIF(AA653:AA671,"=1473080740",FR653:FR671),2)</f>
        <v>0</v>
      </c>
      <c r="BZ673" s="2">
        <f>ROUND(SUMIF(AA653:AA671,"=1473080740",GL653:GL671),2)</f>
        <v>0</v>
      </c>
      <c r="CA673" s="2">
        <f>ROUND(SUMIF(AA653:AA671,"=1473080740",GM653:GM671),2)</f>
        <v>16818.509999999998</v>
      </c>
      <c r="CB673" s="2">
        <f>ROUND(SUMIF(AA653:AA671,"=1473080740",GN653:GN671),2)</f>
        <v>0</v>
      </c>
      <c r="CC673" s="2">
        <f>ROUND(SUMIF(AA653:AA671,"=1473080740",GO653:GO671),2)</f>
        <v>0</v>
      </c>
      <c r="CD673" s="2">
        <f>ROUND(SUMIF(AA653:AA671,"=1473080740",GP653:GP671),2)</f>
        <v>16818.509999999998</v>
      </c>
      <c r="CE673" s="2">
        <f>AC673-BX673</f>
        <v>34.08</v>
      </c>
      <c r="CF673" s="2">
        <f>AC673-BY673</f>
        <v>34.08</v>
      </c>
      <c r="CG673" s="2">
        <f>BX673-BZ673</f>
        <v>0</v>
      </c>
      <c r="CH673" s="2">
        <f>AC673-BX673-BY673+BZ673</f>
        <v>34.08</v>
      </c>
      <c r="CI673" s="2">
        <f>BY673-BZ673</f>
        <v>0</v>
      </c>
      <c r="CJ673" s="2">
        <f>ROUND(SUMIF(AA653:AA671,"=1473080740",GX653:GX671),2)</f>
        <v>0</v>
      </c>
      <c r="CK673" s="2">
        <f>ROUND(SUMIF(AA653:AA671,"=1473080740",GY653:GY671),2)</f>
        <v>0</v>
      </c>
      <c r="CL673" s="2">
        <f>ROUND(SUMIF(AA653:AA671,"=1473080740",GZ653:GZ671),2)</f>
        <v>0</v>
      </c>
      <c r="CM673" s="2">
        <f>ROUND(SUMIF(AA653:AA671,"=1473080740",HD653:HD671),2)</f>
        <v>0</v>
      </c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3"/>
      <c r="DH673" s="3"/>
      <c r="DI673" s="3"/>
      <c r="DJ673" s="3"/>
      <c r="DK673" s="3"/>
      <c r="DL673" s="3"/>
      <c r="DM673" s="3"/>
      <c r="DN673" s="3"/>
      <c r="DO673" s="3"/>
      <c r="DP673" s="3"/>
      <c r="DQ673" s="3"/>
      <c r="DR673" s="3"/>
      <c r="DS673" s="3"/>
      <c r="DT673" s="3"/>
      <c r="DU673" s="3"/>
      <c r="DV673" s="3"/>
      <c r="DW673" s="3"/>
      <c r="DX673" s="3"/>
      <c r="DY673" s="3"/>
      <c r="DZ673" s="3"/>
      <c r="EA673" s="3"/>
      <c r="EB673" s="3"/>
      <c r="EC673" s="3"/>
      <c r="ED673" s="3"/>
      <c r="EE673" s="3"/>
      <c r="EF673" s="3"/>
      <c r="EG673" s="3"/>
      <c r="EH673" s="3"/>
      <c r="EI673" s="3"/>
      <c r="EJ673" s="3"/>
      <c r="EK673" s="3"/>
      <c r="EL673" s="3"/>
      <c r="EM673" s="3"/>
      <c r="EN673" s="3"/>
      <c r="EO673" s="3"/>
      <c r="EP673" s="3"/>
      <c r="EQ673" s="3"/>
      <c r="ER673" s="3"/>
      <c r="ES673" s="3"/>
      <c r="ET673" s="3"/>
      <c r="EU673" s="3"/>
      <c r="EV673" s="3"/>
      <c r="EW673" s="3"/>
      <c r="EX673" s="3"/>
      <c r="EY673" s="3"/>
      <c r="EZ673" s="3"/>
      <c r="FA673" s="3"/>
      <c r="FB673" s="3"/>
      <c r="FC673" s="3"/>
      <c r="FD673" s="3"/>
      <c r="FE673" s="3"/>
      <c r="FF673" s="3"/>
      <c r="FG673" s="3"/>
      <c r="FH673" s="3"/>
      <c r="FI673" s="3"/>
      <c r="FJ673" s="3"/>
      <c r="FK673" s="3"/>
      <c r="FL673" s="3"/>
      <c r="FM673" s="3"/>
      <c r="FN673" s="3"/>
      <c r="FO673" s="3"/>
      <c r="FP673" s="3"/>
      <c r="FQ673" s="3"/>
      <c r="FR673" s="3"/>
      <c r="FS673" s="3"/>
      <c r="FT673" s="3"/>
      <c r="FU673" s="3"/>
      <c r="FV673" s="3"/>
      <c r="FW673" s="3"/>
      <c r="FX673" s="3"/>
      <c r="FY673" s="3"/>
      <c r="FZ673" s="3"/>
      <c r="GA673" s="3"/>
      <c r="GB673" s="3"/>
      <c r="GC673" s="3"/>
      <c r="GD673" s="3"/>
      <c r="GE673" s="3"/>
      <c r="GF673" s="3"/>
      <c r="GG673" s="3"/>
      <c r="GH673" s="3"/>
      <c r="GI673" s="3"/>
      <c r="GJ673" s="3"/>
      <c r="GK673" s="3"/>
      <c r="GL673" s="3"/>
      <c r="GM673" s="3"/>
      <c r="GN673" s="3"/>
      <c r="GO673" s="3"/>
      <c r="GP673" s="3"/>
      <c r="GQ673" s="3"/>
      <c r="GR673" s="3"/>
      <c r="GS673" s="3"/>
      <c r="GT673" s="3"/>
      <c r="GU673" s="3"/>
      <c r="GV673" s="3"/>
      <c r="GW673" s="3"/>
      <c r="GX673" s="3">
        <v>0</v>
      </c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201</v>
      </c>
      <c r="F675" s="4">
        <f>ROUND(Source!O673,O675)</f>
        <v>9358.76</v>
      </c>
      <c r="G675" s="4" t="s">
        <v>43</v>
      </c>
      <c r="H675" s="4" t="s">
        <v>44</v>
      </c>
      <c r="I675" s="4"/>
      <c r="J675" s="4"/>
      <c r="K675" s="4">
        <v>201</v>
      </c>
      <c r="L675" s="4">
        <v>1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9358.76</v>
      </c>
      <c r="X675" s="4">
        <v>1</v>
      </c>
      <c r="Y675" s="4">
        <v>9358.76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202</v>
      </c>
      <c r="F676" s="4">
        <f>ROUND(Source!P673,O676)</f>
        <v>34.08</v>
      </c>
      <c r="G676" s="4" t="s">
        <v>45</v>
      </c>
      <c r="H676" s="4" t="s">
        <v>46</v>
      </c>
      <c r="I676" s="4"/>
      <c r="J676" s="4"/>
      <c r="K676" s="4">
        <v>202</v>
      </c>
      <c r="L676" s="4">
        <v>2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34.08</v>
      </c>
      <c r="X676" s="4">
        <v>1</v>
      </c>
      <c r="Y676" s="4">
        <v>34.08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222</v>
      </c>
      <c r="F677" s="4">
        <f>ROUND(Source!AO673,O677)</f>
        <v>0</v>
      </c>
      <c r="G677" s="4" t="s">
        <v>47</v>
      </c>
      <c r="H677" s="4" t="s">
        <v>48</v>
      </c>
      <c r="I677" s="4"/>
      <c r="J677" s="4"/>
      <c r="K677" s="4">
        <v>222</v>
      </c>
      <c r="L677" s="4">
        <v>3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225</v>
      </c>
      <c r="F678" s="4">
        <f>ROUND(Source!AV673,O678)</f>
        <v>34.08</v>
      </c>
      <c r="G678" s="4" t="s">
        <v>49</v>
      </c>
      <c r="H678" s="4" t="s">
        <v>50</v>
      </c>
      <c r="I678" s="4"/>
      <c r="J678" s="4"/>
      <c r="K678" s="4">
        <v>225</v>
      </c>
      <c r="L678" s="4">
        <v>4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34.08</v>
      </c>
      <c r="X678" s="4">
        <v>1</v>
      </c>
      <c r="Y678" s="4">
        <v>34.08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226</v>
      </c>
      <c r="F679" s="4">
        <f>ROUND(Source!AW673,O679)</f>
        <v>34.08</v>
      </c>
      <c r="G679" s="4" t="s">
        <v>51</v>
      </c>
      <c r="H679" s="4" t="s">
        <v>52</v>
      </c>
      <c r="I679" s="4"/>
      <c r="J679" s="4"/>
      <c r="K679" s="4">
        <v>226</v>
      </c>
      <c r="L679" s="4">
        <v>5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34.08</v>
      </c>
      <c r="X679" s="4">
        <v>1</v>
      </c>
      <c r="Y679" s="4">
        <v>34.08</v>
      </c>
      <c r="Z679" s="4"/>
      <c r="AA679" s="4"/>
      <c r="AB679" s="4"/>
    </row>
    <row r="680" spans="1:206" x14ac:dyDescent="0.2">
      <c r="A680" s="4">
        <v>50</v>
      </c>
      <c r="B680" s="4">
        <v>0</v>
      </c>
      <c r="C680" s="4">
        <v>0</v>
      </c>
      <c r="D680" s="4">
        <v>1</v>
      </c>
      <c r="E680" s="4">
        <v>227</v>
      </c>
      <c r="F680" s="4">
        <f>ROUND(Source!AX673,O680)</f>
        <v>0</v>
      </c>
      <c r="G680" s="4" t="s">
        <v>53</v>
      </c>
      <c r="H680" s="4" t="s">
        <v>54</v>
      </c>
      <c r="I680" s="4"/>
      <c r="J680" s="4"/>
      <c r="K680" s="4">
        <v>227</v>
      </c>
      <c r="L680" s="4">
        <v>6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228</v>
      </c>
      <c r="F681" s="4">
        <f>ROUND(Source!AY673,O681)</f>
        <v>34.08</v>
      </c>
      <c r="G681" s="4" t="s">
        <v>55</v>
      </c>
      <c r="H681" s="4" t="s">
        <v>56</v>
      </c>
      <c r="I681" s="4"/>
      <c r="J681" s="4"/>
      <c r="K681" s="4">
        <v>228</v>
      </c>
      <c r="L681" s="4">
        <v>7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34.08</v>
      </c>
      <c r="X681" s="4">
        <v>1</v>
      </c>
      <c r="Y681" s="4">
        <v>34.08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1</v>
      </c>
      <c r="E682" s="4">
        <v>216</v>
      </c>
      <c r="F682" s="4">
        <f>ROUND(Source!AP673,O682)</f>
        <v>0</v>
      </c>
      <c r="G682" s="4" t="s">
        <v>57</v>
      </c>
      <c r="H682" s="4" t="s">
        <v>58</v>
      </c>
      <c r="I682" s="4"/>
      <c r="J682" s="4"/>
      <c r="K682" s="4">
        <v>216</v>
      </c>
      <c r="L682" s="4">
        <v>8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1</v>
      </c>
      <c r="E683" s="4">
        <v>223</v>
      </c>
      <c r="F683" s="4">
        <f>ROUND(Source!AQ673,O683)</f>
        <v>0</v>
      </c>
      <c r="G683" s="4" t="s">
        <v>59</v>
      </c>
      <c r="H683" s="4" t="s">
        <v>60</v>
      </c>
      <c r="I683" s="4"/>
      <c r="J683" s="4"/>
      <c r="K683" s="4">
        <v>223</v>
      </c>
      <c r="L683" s="4">
        <v>9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1</v>
      </c>
      <c r="E684" s="4">
        <v>229</v>
      </c>
      <c r="F684" s="4">
        <f>ROUND(Source!AZ673,O684)</f>
        <v>0</v>
      </c>
      <c r="G684" s="4" t="s">
        <v>61</v>
      </c>
      <c r="H684" s="4" t="s">
        <v>62</v>
      </c>
      <c r="I684" s="4"/>
      <c r="J684" s="4"/>
      <c r="K684" s="4">
        <v>229</v>
      </c>
      <c r="L684" s="4">
        <v>10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0</v>
      </c>
      <c r="X684" s="4">
        <v>1</v>
      </c>
      <c r="Y684" s="4">
        <v>0</v>
      </c>
      <c r="Z684" s="4"/>
      <c r="AA684" s="4"/>
      <c r="AB684" s="4"/>
    </row>
    <row r="685" spans="1:206" x14ac:dyDescent="0.2">
      <c r="A685" s="4">
        <v>50</v>
      </c>
      <c r="B685" s="4">
        <v>0</v>
      </c>
      <c r="C685" s="4">
        <v>0</v>
      </c>
      <c r="D685" s="4">
        <v>1</v>
      </c>
      <c r="E685" s="4">
        <v>203</v>
      </c>
      <c r="F685" s="4">
        <f>ROUND(Source!Q673,O685)</f>
        <v>0</v>
      </c>
      <c r="G685" s="4" t="s">
        <v>63</v>
      </c>
      <c r="H685" s="4" t="s">
        <v>64</v>
      </c>
      <c r="I685" s="4"/>
      <c r="J685" s="4"/>
      <c r="K685" s="4">
        <v>203</v>
      </c>
      <c r="L685" s="4">
        <v>11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0</v>
      </c>
      <c r="X685" s="4">
        <v>1</v>
      </c>
      <c r="Y685" s="4">
        <v>0</v>
      </c>
      <c r="Z685" s="4"/>
      <c r="AA685" s="4"/>
      <c r="AB685" s="4"/>
    </row>
    <row r="686" spans="1:206" x14ac:dyDescent="0.2">
      <c r="A686" s="4">
        <v>50</v>
      </c>
      <c r="B686" s="4">
        <v>0</v>
      </c>
      <c r="C686" s="4">
        <v>0</v>
      </c>
      <c r="D686" s="4">
        <v>1</v>
      </c>
      <c r="E686" s="4">
        <v>231</v>
      </c>
      <c r="F686" s="4">
        <f>ROUND(Source!BB673,O686)</f>
        <v>0</v>
      </c>
      <c r="G686" s="4" t="s">
        <v>65</v>
      </c>
      <c r="H686" s="4" t="s">
        <v>66</v>
      </c>
      <c r="I686" s="4"/>
      <c r="J686" s="4"/>
      <c r="K686" s="4">
        <v>231</v>
      </c>
      <c r="L686" s="4">
        <v>12</v>
      </c>
      <c r="M686" s="4">
        <v>3</v>
      </c>
      <c r="N686" s="4" t="s">
        <v>3</v>
      </c>
      <c r="O686" s="4">
        <v>2</v>
      </c>
      <c r="P686" s="4"/>
      <c r="Q686" s="4"/>
      <c r="R686" s="4"/>
      <c r="S686" s="4"/>
      <c r="T686" s="4"/>
      <c r="U686" s="4"/>
      <c r="V686" s="4"/>
      <c r="W686" s="4">
        <v>0</v>
      </c>
      <c r="X686" s="4">
        <v>1</v>
      </c>
      <c r="Y686" s="4">
        <v>0</v>
      </c>
      <c r="Z686" s="4"/>
      <c r="AA686" s="4"/>
      <c r="AB686" s="4"/>
    </row>
    <row r="687" spans="1:206" x14ac:dyDescent="0.2">
      <c r="A687" s="4">
        <v>50</v>
      </c>
      <c r="B687" s="4">
        <v>0</v>
      </c>
      <c r="C687" s="4">
        <v>0</v>
      </c>
      <c r="D687" s="4">
        <v>1</v>
      </c>
      <c r="E687" s="4">
        <v>204</v>
      </c>
      <c r="F687" s="4">
        <f>ROUND(Source!R673,O687)</f>
        <v>0</v>
      </c>
      <c r="G687" s="4" t="s">
        <v>67</v>
      </c>
      <c r="H687" s="4" t="s">
        <v>68</v>
      </c>
      <c r="I687" s="4"/>
      <c r="J687" s="4"/>
      <c r="K687" s="4">
        <v>204</v>
      </c>
      <c r="L687" s="4">
        <v>13</v>
      </c>
      <c r="M687" s="4">
        <v>3</v>
      </c>
      <c r="N687" s="4" t="s">
        <v>3</v>
      </c>
      <c r="O687" s="4">
        <v>2</v>
      </c>
      <c r="P687" s="4"/>
      <c r="Q687" s="4"/>
      <c r="R687" s="4"/>
      <c r="S687" s="4"/>
      <c r="T687" s="4"/>
      <c r="U687" s="4"/>
      <c r="V687" s="4"/>
      <c r="W687" s="4">
        <v>0</v>
      </c>
      <c r="X687" s="4">
        <v>1</v>
      </c>
      <c r="Y687" s="4">
        <v>0</v>
      </c>
      <c r="Z687" s="4"/>
      <c r="AA687" s="4"/>
      <c r="AB687" s="4"/>
    </row>
    <row r="688" spans="1:206" x14ac:dyDescent="0.2">
      <c r="A688" s="4">
        <v>50</v>
      </c>
      <c r="B688" s="4">
        <v>0</v>
      </c>
      <c r="C688" s="4">
        <v>0</v>
      </c>
      <c r="D688" s="4">
        <v>1</v>
      </c>
      <c r="E688" s="4">
        <v>205</v>
      </c>
      <c r="F688" s="4">
        <f>ROUND(Source!S673,O688)</f>
        <v>9324.68</v>
      </c>
      <c r="G688" s="4" t="s">
        <v>69</v>
      </c>
      <c r="H688" s="4" t="s">
        <v>70</v>
      </c>
      <c r="I688" s="4"/>
      <c r="J688" s="4"/>
      <c r="K688" s="4">
        <v>205</v>
      </c>
      <c r="L688" s="4">
        <v>14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9324.68</v>
      </c>
      <c r="X688" s="4">
        <v>1</v>
      </c>
      <c r="Y688" s="4">
        <v>9324.68</v>
      </c>
      <c r="Z688" s="4"/>
      <c r="AA688" s="4"/>
      <c r="AB688" s="4"/>
    </row>
    <row r="689" spans="1:206" x14ac:dyDescent="0.2">
      <c r="A689" s="4">
        <v>50</v>
      </c>
      <c r="B689" s="4">
        <v>0</v>
      </c>
      <c r="C689" s="4">
        <v>0</v>
      </c>
      <c r="D689" s="4">
        <v>1</v>
      </c>
      <c r="E689" s="4">
        <v>232</v>
      </c>
      <c r="F689" s="4">
        <f>ROUND(Source!BC673,O689)</f>
        <v>0</v>
      </c>
      <c r="G689" s="4" t="s">
        <v>71</v>
      </c>
      <c r="H689" s="4" t="s">
        <v>72</v>
      </c>
      <c r="I689" s="4"/>
      <c r="J689" s="4"/>
      <c r="K689" s="4">
        <v>232</v>
      </c>
      <c r="L689" s="4">
        <v>15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06" x14ac:dyDescent="0.2">
      <c r="A690" s="4">
        <v>50</v>
      </c>
      <c r="B690" s="4">
        <v>0</v>
      </c>
      <c r="C690" s="4">
        <v>0</v>
      </c>
      <c r="D690" s="4">
        <v>1</v>
      </c>
      <c r="E690" s="4">
        <v>214</v>
      </c>
      <c r="F690" s="4">
        <f>ROUND(Source!AS673,O690)</f>
        <v>0</v>
      </c>
      <c r="G690" s="4" t="s">
        <v>73</v>
      </c>
      <c r="H690" s="4" t="s">
        <v>74</v>
      </c>
      <c r="I690" s="4"/>
      <c r="J690" s="4"/>
      <c r="K690" s="4">
        <v>214</v>
      </c>
      <c r="L690" s="4">
        <v>16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06" x14ac:dyDescent="0.2">
      <c r="A691" s="4">
        <v>50</v>
      </c>
      <c r="B691" s="4">
        <v>0</v>
      </c>
      <c r="C691" s="4">
        <v>0</v>
      </c>
      <c r="D691" s="4">
        <v>1</v>
      </c>
      <c r="E691" s="4">
        <v>215</v>
      </c>
      <c r="F691" s="4">
        <f>ROUND(Source!AT673,O691)</f>
        <v>0</v>
      </c>
      <c r="G691" s="4" t="s">
        <v>75</v>
      </c>
      <c r="H691" s="4" t="s">
        <v>76</v>
      </c>
      <c r="I691" s="4"/>
      <c r="J691" s="4"/>
      <c r="K691" s="4">
        <v>215</v>
      </c>
      <c r="L691" s="4">
        <v>17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06" x14ac:dyDescent="0.2">
      <c r="A692" s="4">
        <v>50</v>
      </c>
      <c r="B692" s="4">
        <v>0</v>
      </c>
      <c r="C692" s="4">
        <v>0</v>
      </c>
      <c r="D692" s="4">
        <v>1</v>
      </c>
      <c r="E692" s="4">
        <v>217</v>
      </c>
      <c r="F692" s="4">
        <f>ROUND(Source!AU673,O692)</f>
        <v>16818.509999999998</v>
      </c>
      <c r="G692" s="4" t="s">
        <v>77</v>
      </c>
      <c r="H692" s="4" t="s">
        <v>78</v>
      </c>
      <c r="I692" s="4"/>
      <c r="J692" s="4"/>
      <c r="K692" s="4">
        <v>217</v>
      </c>
      <c r="L692" s="4">
        <v>18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16818.509999999998</v>
      </c>
      <c r="X692" s="4">
        <v>1</v>
      </c>
      <c r="Y692" s="4">
        <v>16818.509999999998</v>
      </c>
      <c r="Z692" s="4"/>
      <c r="AA692" s="4"/>
      <c r="AB692" s="4"/>
    </row>
    <row r="693" spans="1:206" x14ac:dyDescent="0.2">
      <c r="A693" s="4">
        <v>50</v>
      </c>
      <c r="B693" s="4">
        <v>0</v>
      </c>
      <c r="C693" s="4">
        <v>0</v>
      </c>
      <c r="D693" s="4">
        <v>1</v>
      </c>
      <c r="E693" s="4">
        <v>230</v>
      </c>
      <c r="F693" s="4">
        <f>ROUND(Source!BA673,O693)</f>
        <v>0</v>
      </c>
      <c r="G693" s="4" t="s">
        <v>79</v>
      </c>
      <c r="H693" s="4" t="s">
        <v>80</v>
      </c>
      <c r="I693" s="4"/>
      <c r="J693" s="4"/>
      <c r="K693" s="4">
        <v>230</v>
      </c>
      <c r="L693" s="4">
        <v>19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0</v>
      </c>
      <c r="X693" s="4">
        <v>1</v>
      </c>
      <c r="Y693" s="4">
        <v>0</v>
      </c>
      <c r="Z693" s="4"/>
      <c r="AA693" s="4"/>
      <c r="AB693" s="4"/>
    </row>
    <row r="694" spans="1:206" x14ac:dyDescent="0.2">
      <c r="A694" s="4">
        <v>50</v>
      </c>
      <c r="B694" s="4">
        <v>0</v>
      </c>
      <c r="C694" s="4">
        <v>0</v>
      </c>
      <c r="D694" s="4">
        <v>1</v>
      </c>
      <c r="E694" s="4">
        <v>206</v>
      </c>
      <c r="F694" s="4">
        <f>ROUND(Source!T673,O694)</f>
        <v>0</v>
      </c>
      <c r="G694" s="4" t="s">
        <v>81</v>
      </c>
      <c r="H694" s="4" t="s">
        <v>82</v>
      </c>
      <c r="I694" s="4"/>
      <c r="J694" s="4"/>
      <c r="K694" s="4">
        <v>206</v>
      </c>
      <c r="L694" s="4">
        <v>20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0</v>
      </c>
      <c r="X694" s="4">
        <v>1</v>
      </c>
      <c r="Y694" s="4">
        <v>0</v>
      </c>
      <c r="Z694" s="4"/>
      <c r="AA694" s="4"/>
      <c r="AB694" s="4"/>
    </row>
    <row r="695" spans="1:206" x14ac:dyDescent="0.2">
      <c r="A695" s="4">
        <v>50</v>
      </c>
      <c r="B695" s="4">
        <v>0</v>
      </c>
      <c r="C695" s="4">
        <v>0</v>
      </c>
      <c r="D695" s="4">
        <v>1</v>
      </c>
      <c r="E695" s="4">
        <v>207</v>
      </c>
      <c r="F695" s="4">
        <f>Source!U673</f>
        <v>17.054279999999999</v>
      </c>
      <c r="G695" s="4" t="s">
        <v>83</v>
      </c>
      <c r="H695" s="4" t="s">
        <v>84</v>
      </c>
      <c r="I695" s="4"/>
      <c r="J695" s="4"/>
      <c r="K695" s="4">
        <v>207</v>
      </c>
      <c r="L695" s="4">
        <v>21</v>
      </c>
      <c r="M695" s="4">
        <v>3</v>
      </c>
      <c r="N695" s="4" t="s">
        <v>3</v>
      </c>
      <c r="O695" s="4">
        <v>-1</v>
      </c>
      <c r="P695" s="4"/>
      <c r="Q695" s="4"/>
      <c r="R695" s="4"/>
      <c r="S695" s="4"/>
      <c r="T695" s="4"/>
      <c r="U695" s="4"/>
      <c r="V695" s="4"/>
      <c r="W695" s="4">
        <v>17.054279999999999</v>
      </c>
      <c r="X695" s="4">
        <v>1</v>
      </c>
      <c r="Y695" s="4">
        <v>17.054279999999999</v>
      </c>
      <c r="Z695" s="4"/>
      <c r="AA695" s="4"/>
      <c r="AB695" s="4"/>
    </row>
    <row r="696" spans="1:206" x14ac:dyDescent="0.2">
      <c r="A696" s="4">
        <v>50</v>
      </c>
      <c r="B696" s="4">
        <v>0</v>
      </c>
      <c r="C696" s="4">
        <v>0</v>
      </c>
      <c r="D696" s="4">
        <v>1</v>
      </c>
      <c r="E696" s="4">
        <v>208</v>
      </c>
      <c r="F696" s="4">
        <f>Source!V673</f>
        <v>0</v>
      </c>
      <c r="G696" s="4" t="s">
        <v>85</v>
      </c>
      <c r="H696" s="4" t="s">
        <v>86</v>
      </c>
      <c r="I696" s="4"/>
      <c r="J696" s="4"/>
      <c r="K696" s="4">
        <v>208</v>
      </c>
      <c r="L696" s="4">
        <v>22</v>
      </c>
      <c r="M696" s="4">
        <v>3</v>
      </c>
      <c r="N696" s="4" t="s">
        <v>3</v>
      </c>
      <c r="O696" s="4">
        <v>-1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06" x14ac:dyDescent="0.2">
      <c r="A697" s="4">
        <v>50</v>
      </c>
      <c r="B697" s="4">
        <v>0</v>
      </c>
      <c r="C697" s="4">
        <v>0</v>
      </c>
      <c r="D697" s="4">
        <v>1</v>
      </c>
      <c r="E697" s="4">
        <v>209</v>
      </c>
      <c r="F697" s="4">
        <f>ROUND(Source!W673,O697)</f>
        <v>0</v>
      </c>
      <c r="G697" s="4" t="s">
        <v>87</v>
      </c>
      <c r="H697" s="4" t="s">
        <v>88</v>
      </c>
      <c r="I697" s="4"/>
      <c r="J697" s="4"/>
      <c r="K697" s="4">
        <v>209</v>
      </c>
      <c r="L697" s="4">
        <v>23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06" x14ac:dyDescent="0.2">
      <c r="A698" s="4">
        <v>50</v>
      </c>
      <c r="B698" s="4">
        <v>0</v>
      </c>
      <c r="C698" s="4">
        <v>0</v>
      </c>
      <c r="D698" s="4">
        <v>1</v>
      </c>
      <c r="E698" s="4">
        <v>233</v>
      </c>
      <c r="F698" s="4">
        <f>ROUND(Source!BD673,O698)</f>
        <v>0</v>
      </c>
      <c r="G698" s="4" t="s">
        <v>89</v>
      </c>
      <c r="H698" s="4" t="s">
        <v>90</v>
      </c>
      <c r="I698" s="4"/>
      <c r="J698" s="4"/>
      <c r="K698" s="4">
        <v>233</v>
      </c>
      <c r="L698" s="4">
        <v>24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06" x14ac:dyDescent="0.2">
      <c r="A699" s="4">
        <v>50</v>
      </c>
      <c r="B699" s="4">
        <v>0</v>
      </c>
      <c r="C699" s="4">
        <v>0</v>
      </c>
      <c r="D699" s="4">
        <v>1</v>
      </c>
      <c r="E699" s="4">
        <v>210</v>
      </c>
      <c r="F699" s="4">
        <f>ROUND(Source!X673,O699)</f>
        <v>6527.28</v>
      </c>
      <c r="G699" s="4" t="s">
        <v>91</v>
      </c>
      <c r="H699" s="4" t="s">
        <v>92</v>
      </c>
      <c r="I699" s="4"/>
      <c r="J699" s="4"/>
      <c r="K699" s="4">
        <v>210</v>
      </c>
      <c r="L699" s="4">
        <v>25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6527.28</v>
      </c>
      <c r="X699" s="4">
        <v>1</v>
      </c>
      <c r="Y699" s="4">
        <v>6527.28</v>
      </c>
      <c r="Z699" s="4"/>
      <c r="AA699" s="4"/>
      <c r="AB699" s="4"/>
    </row>
    <row r="700" spans="1:206" x14ac:dyDescent="0.2">
      <c r="A700" s="4">
        <v>50</v>
      </c>
      <c r="B700" s="4">
        <v>0</v>
      </c>
      <c r="C700" s="4">
        <v>0</v>
      </c>
      <c r="D700" s="4">
        <v>1</v>
      </c>
      <c r="E700" s="4">
        <v>211</v>
      </c>
      <c r="F700" s="4">
        <f>ROUND(Source!Y673,O700)</f>
        <v>932.47</v>
      </c>
      <c r="G700" s="4" t="s">
        <v>93</v>
      </c>
      <c r="H700" s="4" t="s">
        <v>94</v>
      </c>
      <c r="I700" s="4"/>
      <c r="J700" s="4"/>
      <c r="K700" s="4">
        <v>211</v>
      </c>
      <c r="L700" s="4">
        <v>26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932.47</v>
      </c>
      <c r="X700" s="4">
        <v>1</v>
      </c>
      <c r="Y700" s="4">
        <v>932.47</v>
      </c>
      <c r="Z700" s="4"/>
      <c r="AA700" s="4"/>
      <c r="AB700" s="4"/>
    </row>
    <row r="701" spans="1:206" x14ac:dyDescent="0.2">
      <c r="A701" s="4">
        <v>50</v>
      </c>
      <c r="B701" s="4">
        <v>0</v>
      </c>
      <c r="C701" s="4">
        <v>0</v>
      </c>
      <c r="D701" s="4">
        <v>1</v>
      </c>
      <c r="E701" s="4">
        <v>224</v>
      </c>
      <c r="F701" s="4">
        <f>ROUND(Source!AR673,O701)</f>
        <v>16818.509999999998</v>
      </c>
      <c r="G701" s="4" t="s">
        <v>95</v>
      </c>
      <c r="H701" s="4" t="s">
        <v>96</v>
      </c>
      <c r="I701" s="4"/>
      <c r="J701" s="4"/>
      <c r="K701" s="4">
        <v>224</v>
      </c>
      <c r="L701" s="4">
        <v>27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16818.509999999998</v>
      </c>
      <c r="X701" s="4">
        <v>1</v>
      </c>
      <c r="Y701" s="4">
        <v>16818.509999999998</v>
      </c>
      <c r="Z701" s="4"/>
      <c r="AA701" s="4"/>
      <c r="AB701" s="4"/>
    </row>
    <row r="703" spans="1:206" x14ac:dyDescent="0.2">
      <c r="A703" s="2">
        <v>51</v>
      </c>
      <c r="B703" s="2">
        <f>B486</f>
        <v>1</v>
      </c>
      <c r="C703" s="2">
        <f>A486</f>
        <v>4</v>
      </c>
      <c r="D703" s="2">
        <f>ROW(A486)</f>
        <v>486</v>
      </c>
      <c r="E703" s="2"/>
      <c r="F703" s="2" t="str">
        <f>IF(F486&lt;&gt;"",F486,"")</f>
        <v>Новый раздел</v>
      </c>
      <c r="G703" s="2" t="str">
        <f>IF(G486&lt;&gt;"",G486,"")</f>
        <v>Электроснабжение и электроосвещение</v>
      </c>
      <c r="H703" s="2">
        <v>0</v>
      </c>
      <c r="I703" s="2"/>
      <c r="J703" s="2"/>
      <c r="K703" s="2"/>
      <c r="L703" s="2"/>
      <c r="M703" s="2"/>
      <c r="N703" s="2"/>
      <c r="O703" s="2">
        <f t="shared" ref="O703:T703" si="415">ROUND(O535+O577+O619+O673+AB703,2)</f>
        <v>366141.05</v>
      </c>
      <c r="P703" s="2">
        <f t="shared" si="415"/>
        <v>4363.33</v>
      </c>
      <c r="Q703" s="2">
        <f t="shared" si="415"/>
        <v>789.62</v>
      </c>
      <c r="R703" s="2">
        <f t="shared" si="415"/>
        <v>500.68</v>
      </c>
      <c r="S703" s="2">
        <f t="shared" si="415"/>
        <v>360988.1</v>
      </c>
      <c r="T703" s="2">
        <f t="shared" si="415"/>
        <v>0</v>
      </c>
      <c r="U703" s="2">
        <f>U535+U577+U619+U673+AH703</f>
        <v>603.01307999999995</v>
      </c>
      <c r="V703" s="2">
        <f>V535+V577+V619+V673+AI703</f>
        <v>0</v>
      </c>
      <c r="W703" s="2">
        <f>ROUND(W535+W577+W619+W673+AJ703,2)</f>
        <v>0</v>
      </c>
      <c r="X703" s="2">
        <f>ROUND(X535+X577+X619+X673+AK703,2)</f>
        <v>252691.7</v>
      </c>
      <c r="Y703" s="2">
        <f>ROUND(Y535+Y577+Y619+Y673+AL703,2)</f>
        <v>36098.839999999997</v>
      </c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>
        <f t="shared" ref="AO703:BD703" si="416">ROUND(AO535+AO577+AO619+AO673+BX703,2)</f>
        <v>0</v>
      </c>
      <c r="AP703" s="2">
        <f t="shared" si="416"/>
        <v>0</v>
      </c>
      <c r="AQ703" s="2">
        <f t="shared" si="416"/>
        <v>0</v>
      </c>
      <c r="AR703" s="2">
        <f t="shared" si="416"/>
        <v>655472.31999999995</v>
      </c>
      <c r="AS703" s="2">
        <f t="shared" si="416"/>
        <v>0</v>
      </c>
      <c r="AT703" s="2">
        <f t="shared" si="416"/>
        <v>0</v>
      </c>
      <c r="AU703" s="2">
        <f t="shared" si="416"/>
        <v>655472.31999999995</v>
      </c>
      <c r="AV703" s="2">
        <f t="shared" si="416"/>
        <v>4363.33</v>
      </c>
      <c r="AW703" s="2">
        <f t="shared" si="416"/>
        <v>4363.33</v>
      </c>
      <c r="AX703" s="2">
        <f t="shared" si="416"/>
        <v>0</v>
      </c>
      <c r="AY703" s="2">
        <f t="shared" si="416"/>
        <v>4363.33</v>
      </c>
      <c r="AZ703" s="2">
        <f t="shared" si="416"/>
        <v>0</v>
      </c>
      <c r="BA703" s="2">
        <f t="shared" si="416"/>
        <v>0</v>
      </c>
      <c r="BB703" s="2">
        <f t="shared" si="416"/>
        <v>0</v>
      </c>
      <c r="BC703" s="2">
        <f t="shared" si="416"/>
        <v>0</v>
      </c>
      <c r="BD703" s="2">
        <f t="shared" si="416"/>
        <v>0</v>
      </c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3"/>
      <c r="DH703" s="3"/>
      <c r="DI703" s="3"/>
      <c r="DJ703" s="3"/>
      <c r="DK703" s="3"/>
      <c r="DL703" s="3"/>
      <c r="DM703" s="3"/>
      <c r="DN703" s="3"/>
      <c r="DO703" s="3"/>
      <c r="DP703" s="3"/>
      <c r="DQ703" s="3"/>
      <c r="DR703" s="3"/>
      <c r="DS703" s="3"/>
      <c r="DT703" s="3"/>
      <c r="DU703" s="3"/>
      <c r="DV703" s="3"/>
      <c r="DW703" s="3"/>
      <c r="DX703" s="3"/>
      <c r="DY703" s="3"/>
      <c r="DZ703" s="3"/>
      <c r="EA703" s="3"/>
      <c r="EB703" s="3"/>
      <c r="EC703" s="3"/>
      <c r="ED703" s="3"/>
      <c r="EE703" s="3"/>
      <c r="EF703" s="3"/>
      <c r="EG703" s="3"/>
      <c r="EH703" s="3"/>
      <c r="EI703" s="3"/>
      <c r="EJ703" s="3"/>
      <c r="EK703" s="3"/>
      <c r="EL703" s="3"/>
      <c r="EM703" s="3"/>
      <c r="EN703" s="3"/>
      <c r="EO703" s="3"/>
      <c r="EP703" s="3"/>
      <c r="EQ703" s="3"/>
      <c r="ER703" s="3"/>
      <c r="ES703" s="3"/>
      <c r="ET703" s="3"/>
      <c r="EU703" s="3"/>
      <c r="EV703" s="3"/>
      <c r="EW703" s="3"/>
      <c r="EX703" s="3"/>
      <c r="EY703" s="3"/>
      <c r="EZ703" s="3"/>
      <c r="FA703" s="3"/>
      <c r="FB703" s="3"/>
      <c r="FC703" s="3"/>
      <c r="FD703" s="3"/>
      <c r="FE703" s="3"/>
      <c r="FF703" s="3"/>
      <c r="FG703" s="3"/>
      <c r="FH703" s="3"/>
      <c r="FI703" s="3"/>
      <c r="FJ703" s="3"/>
      <c r="FK703" s="3"/>
      <c r="FL703" s="3"/>
      <c r="FM703" s="3"/>
      <c r="FN703" s="3"/>
      <c r="FO703" s="3"/>
      <c r="FP703" s="3"/>
      <c r="FQ703" s="3"/>
      <c r="FR703" s="3"/>
      <c r="FS703" s="3"/>
      <c r="FT703" s="3"/>
      <c r="FU703" s="3"/>
      <c r="FV703" s="3"/>
      <c r="FW703" s="3"/>
      <c r="FX703" s="3"/>
      <c r="FY703" s="3"/>
      <c r="FZ703" s="3"/>
      <c r="GA703" s="3"/>
      <c r="GB703" s="3"/>
      <c r="GC703" s="3"/>
      <c r="GD703" s="3"/>
      <c r="GE703" s="3"/>
      <c r="GF703" s="3"/>
      <c r="GG703" s="3"/>
      <c r="GH703" s="3"/>
      <c r="GI703" s="3"/>
      <c r="GJ703" s="3"/>
      <c r="GK703" s="3"/>
      <c r="GL703" s="3"/>
      <c r="GM703" s="3"/>
      <c r="GN703" s="3"/>
      <c r="GO703" s="3"/>
      <c r="GP703" s="3"/>
      <c r="GQ703" s="3"/>
      <c r="GR703" s="3"/>
      <c r="GS703" s="3"/>
      <c r="GT703" s="3"/>
      <c r="GU703" s="3"/>
      <c r="GV703" s="3"/>
      <c r="GW703" s="3"/>
      <c r="GX703" s="3">
        <v>0</v>
      </c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201</v>
      </c>
      <c r="F705" s="4">
        <f>ROUND(Source!O703,O705)</f>
        <v>366141.05</v>
      </c>
      <c r="G705" s="4" t="s">
        <v>43</v>
      </c>
      <c r="H705" s="4" t="s">
        <v>44</v>
      </c>
      <c r="I705" s="4"/>
      <c r="J705" s="4"/>
      <c r="K705" s="4">
        <v>201</v>
      </c>
      <c r="L705" s="4">
        <v>1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366141.05</v>
      </c>
      <c r="X705" s="4">
        <v>1</v>
      </c>
      <c r="Y705" s="4">
        <v>366141.05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202</v>
      </c>
      <c r="F706" s="4">
        <f>ROUND(Source!P703,O706)</f>
        <v>4363.33</v>
      </c>
      <c r="G706" s="4" t="s">
        <v>45</v>
      </c>
      <c r="H706" s="4" t="s">
        <v>46</v>
      </c>
      <c r="I706" s="4"/>
      <c r="J706" s="4"/>
      <c r="K706" s="4">
        <v>202</v>
      </c>
      <c r="L706" s="4">
        <v>2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4363.33</v>
      </c>
      <c r="X706" s="4">
        <v>1</v>
      </c>
      <c r="Y706" s="4">
        <v>4363.33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222</v>
      </c>
      <c r="F707" s="4">
        <f>ROUND(Source!AO703,O707)</f>
        <v>0</v>
      </c>
      <c r="G707" s="4" t="s">
        <v>47</v>
      </c>
      <c r="H707" s="4" t="s">
        <v>48</v>
      </c>
      <c r="I707" s="4"/>
      <c r="J707" s="4"/>
      <c r="K707" s="4">
        <v>222</v>
      </c>
      <c r="L707" s="4">
        <v>3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225</v>
      </c>
      <c r="F708" s="4">
        <f>ROUND(Source!AV703,O708)</f>
        <v>4363.33</v>
      </c>
      <c r="G708" s="4" t="s">
        <v>49</v>
      </c>
      <c r="H708" s="4" t="s">
        <v>50</v>
      </c>
      <c r="I708" s="4"/>
      <c r="J708" s="4"/>
      <c r="K708" s="4">
        <v>225</v>
      </c>
      <c r="L708" s="4">
        <v>4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4363.33</v>
      </c>
      <c r="X708" s="4">
        <v>1</v>
      </c>
      <c r="Y708" s="4">
        <v>4363.33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226</v>
      </c>
      <c r="F709" s="4">
        <f>ROUND(Source!AW703,O709)</f>
        <v>4363.33</v>
      </c>
      <c r="G709" s="4" t="s">
        <v>51</v>
      </c>
      <c r="H709" s="4" t="s">
        <v>52</v>
      </c>
      <c r="I709" s="4"/>
      <c r="J709" s="4"/>
      <c r="K709" s="4">
        <v>226</v>
      </c>
      <c r="L709" s="4">
        <v>5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4363.33</v>
      </c>
      <c r="X709" s="4">
        <v>1</v>
      </c>
      <c r="Y709" s="4">
        <v>4363.33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227</v>
      </c>
      <c r="F710" s="4">
        <f>ROUND(Source!AX703,O710)</f>
        <v>0</v>
      </c>
      <c r="G710" s="4" t="s">
        <v>53</v>
      </c>
      <c r="H710" s="4" t="s">
        <v>54</v>
      </c>
      <c r="I710" s="4"/>
      <c r="J710" s="4"/>
      <c r="K710" s="4">
        <v>227</v>
      </c>
      <c r="L710" s="4">
        <v>6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228</v>
      </c>
      <c r="F711" s="4">
        <f>ROUND(Source!AY703,O711)</f>
        <v>4363.33</v>
      </c>
      <c r="G711" s="4" t="s">
        <v>55</v>
      </c>
      <c r="H711" s="4" t="s">
        <v>56</v>
      </c>
      <c r="I711" s="4"/>
      <c r="J711" s="4"/>
      <c r="K711" s="4">
        <v>228</v>
      </c>
      <c r="L711" s="4">
        <v>7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4363.33</v>
      </c>
      <c r="X711" s="4">
        <v>1</v>
      </c>
      <c r="Y711" s="4">
        <v>4363.33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216</v>
      </c>
      <c r="F712" s="4">
        <f>ROUND(Source!AP703,O712)</f>
        <v>0</v>
      </c>
      <c r="G712" s="4" t="s">
        <v>57</v>
      </c>
      <c r="H712" s="4" t="s">
        <v>58</v>
      </c>
      <c r="I712" s="4"/>
      <c r="J712" s="4"/>
      <c r="K712" s="4">
        <v>216</v>
      </c>
      <c r="L712" s="4">
        <v>8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223</v>
      </c>
      <c r="F713" s="4">
        <f>ROUND(Source!AQ703,O713)</f>
        <v>0</v>
      </c>
      <c r="G713" s="4" t="s">
        <v>59</v>
      </c>
      <c r="H713" s="4" t="s">
        <v>60</v>
      </c>
      <c r="I713" s="4"/>
      <c r="J713" s="4"/>
      <c r="K713" s="4">
        <v>223</v>
      </c>
      <c r="L713" s="4">
        <v>9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229</v>
      </c>
      <c r="F714" s="4">
        <f>ROUND(Source!AZ703,O714)</f>
        <v>0</v>
      </c>
      <c r="G714" s="4" t="s">
        <v>61</v>
      </c>
      <c r="H714" s="4" t="s">
        <v>62</v>
      </c>
      <c r="I714" s="4"/>
      <c r="J714" s="4"/>
      <c r="K714" s="4">
        <v>229</v>
      </c>
      <c r="L714" s="4">
        <v>10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0</v>
      </c>
      <c r="X714" s="4">
        <v>1</v>
      </c>
      <c r="Y714" s="4">
        <v>0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203</v>
      </c>
      <c r="F715" s="4">
        <f>ROUND(Source!Q703,O715)</f>
        <v>789.62</v>
      </c>
      <c r="G715" s="4" t="s">
        <v>63</v>
      </c>
      <c r="H715" s="4" t="s">
        <v>64</v>
      </c>
      <c r="I715" s="4"/>
      <c r="J715" s="4"/>
      <c r="K715" s="4">
        <v>203</v>
      </c>
      <c r="L715" s="4">
        <v>11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789.62</v>
      </c>
      <c r="X715" s="4">
        <v>1</v>
      </c>
      <c r="Y715" s="4">
        <v>789.62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231</v>
      </c>
      <c r="F716" s="4">
        <f>ROUND(Source!BB703,O716)</f>
        <v>0</v>
      </c>
      <c r="G716" s="4" t="s">
        <v>65</v>
      </c>
      <c r="H716" s="4" t="s">
        <v>66</v>
      </c>
      <c r="I716" s="4"/>
      <c r="J716" s="4"/>
      <c r="K716" s="4">
        <v>231</v>
      </c>
      <c r="L716" s="4">
        <v>12</v>
      </c>
      <c r="M716" s="4">
        <v>3</v>
      </c>
      <c r="N716" s="4" t="s">
        <v>3</v>
      </c>
      <c r="O716" s="4">
        <v>2</v>
      </c>
      <c r="P716" s="4"/>
      <c r="Q716" s="4"/>
      <c r="R716" s="4"/>
      <c r="S716" s="4"/>
      <c r="T716" s="4"/>
      <c r="U716" s="4"/>
      <c r="V716" s="4"/>
      <c r="W716" s="4">
        <v>0</v>
      </c>
      <c r="X716" s="4">
        <v>1</v>
      </c>
      <c r="Y716" s="4">
        <v>0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204</v>
      </c>
      <c r="F717" s="4">
        <f>ROUND(Source!R703,O717)</f>
        <v>500.68</v>
      </c>
      <c r="G717" s="4" t="s">
        <v>67</v>
      </c>
      <c r="H717" s="4" t="s">
        <v>68</v>
      </c>
      <c r="I717" s="4"/>
      <c r="J717" s="4"/>
      <c r="K717" s="4">
        <v>204</v>
      </c>
      <c r="L717" s="4">
        <v>13</v>
      </c>
      <c r="M717" s="4">
        <v>3</v>
      </c>
      <c r="N717" s="4" t="s">
        <v>3</v>
      </c>
      <c r="O717" s="4">
        <v>2</v>
      </c>
      <c r="P717" s="4"/>
      <c r="Q717" s="4"/>
      <c r="R717" s="4"/>
      <c r="S717" s="4"/>
      <c r="T717" s="4"/>
      <c r="U717" s="4"/>
      <c r="V717" s="4"/>
      <c r="W717" s="4">
        <v>500.68</v>
      </c>
      <c r="X717" s="4">
        <v>1</v>
      </c>
      <c r="Y717" s="4">
        <v>500.68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205</v>
      </c>
      <c r="F718" s="4">
        <f>ROUND(Source!S703,O718)</f>
        <v>360988.1</v>
      </c>
      <c r="G718" s="4" t="s">
        <v>69</v>
      </c>
      <c r="H718" s="4" t="s">
        <v>70</v>
      </c>
      <c r="I718" s="4"/>
      <c r="J718" s="4"/>
      <c r="K718" s="4">
        <v>205</v>
      </c>
      <c r="L718" s="4">
        <v>14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360988.1</v>
      </c>
      <c r="X718" s="4">
        <v>1</v>
      </c>
      <c r="Y718" s="4">
        <v>360988.1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232</v>
      </c>
      <c r="F719" s="4">
        <f>ROUND(Source!BC703,O719)</f>
        <v>0</v>
      </c>
      <c r="G719" s="4" t="s">
        <v>71</v>
      </c>
      <c r="H719" s="4" t="s">
        <v>72</v>
      </c>
      <c r="I719" s="4"/>
      <c r="J719" s="4"/>
      <c r="K719" s="4">
        <v>232</v>
      </c>
      <c r="L719" s="4">
        <v>15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214</v>
      </c>
      <c r="F720" s="4">
        <f>ROUND(Source!AS703,O720)</f>
        <v>0</v>
      </c>
      <c r="G720" s="4" t="s">
        <v>73</v>
      </c>
      <c r="H720" s="4" t="s">
        <v>74</v>
      </c>
      <c r="I720" s="4"/>
      <c r="J720" s="4"/>
      <c r="K720" s="4">
        <v>214</v>
      </c>
      <c r="L720" s="4">
        <v>16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0</v>
      </c>
      <c r="X720" s="4">
        <v>1</v>
      </c>
      <c r="Y720" s="4">
        <v>0</v>
      </c>
      <c r="Z720" s="4"/>
      <c r="AA720" s="4"/>
      <c r="AB720" s="4"/>
    </row>
    <row r="721" spans="1:206" x14ac:dyDescent="0.2">
      <c r="A721" s="4">
        <v>50</v>
      </c>
      <c r="B721" s="4">
        <v>0</v>
      </c>
      <c r="C721" s="4">
        <v>0</v>
      </c>
      <c r="D721" s="4">
        <v>1</v>
      </c>
      <c r="E721" s="4">
        <v>215</v>
      </c>
      <c r="F721" s="4">
        <f>ROUND(Source!AT703,O721)</f>
        <v>0</v>
      </c>
      <c r="G721" s="4" t="s">
        <v>75</v>
      </c>
      <c r="H721" s="4" t="s">
        <v>76</v>
      </c>
      <c r="I721" s="4"/>
      <c r="J721" s="4"/>
      <c r="K721" s="4">
        <v>215</v>
      </c>
      <c r="L721" s="4">
        <v>17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06" x14ac:dyDescent="0.2">
      <c r="A722" s="4">
        <v>50</v>
      </c>
      <c r="B722" s="4">
        <v>0</v>
      </c>
      <c r="C722" s="4">
        <v>0</v>
      </c>
      <c r="D722" s="4">
        <v>1</v>
      </c>
      <c r="E722" s="4">
        <v>217</v>
      </c>
      <c r="F722" s="4">
        <f>ROUND(Source!AU703,O722)</f>
        <v>655472.31999999995</v>
      </c>
      <c r="G722" s="4" t="s">
        <v>77</v>
      </c>
      <c r="H722" s="4" t="s">
        <v>78</v>
      </c>
      <c r="I722" s="4"/>
      <c r="J722" s="4"/>
      <c r="K722" s="4">
        <v>217</v>
      </c>
      <c r="L722" s="4">
        <v>18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655472.31999999995</v>
      </c>
      <c r="X722" s="4">
        <v>1</v>
      </c>
      <c r="Y722" s="4">
        <v>655472.31999999995</v>
      </c>
      <c r="Z722" s="4"/>
      <c r="AA722" s="4"/>
      <c r="AB722" s="4"/>
    </row>
    <row r="723" spans="1:206" x14ac:dyDescent="0.2">
      <c r="A723" s="4">
        <v>50</v>
      </c>
      <c r="B723" s="4">
        <v>0</v>
      </c>
      <c r="C723" s="4">
        <v>0</v>
      </c>
      <c r="D723" s="4">
        <v>1</v>
      </c>
      <c r="E723" s="4">
        <v>230</v>
      </c>
      <c r="F723" s="4">
        <f>ROUND(Source!BA703,O723)</f>
        <v>0</v>
      </c>
      <c r="G723" s="4" t="s">
        <v>79</v>
      </c>
      <c r="H723" s="4" t="s">
        <v>80</v>
      </c>
      <c r="I723" s="4"/>
      <c r="J723" s="4"/>
      <c r="K723" s="4">
        <v>230</v>
      </c>
      <c r="L723" s="4">
        <v>19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0</v>
      </c>
      <c r="X723" s="4">
        <v>1</v>
      </c>
      <c r="Y723" s="4">
        <v>0</v>
      </c>
      <c r="Z723" s="4"/>
      <c r="AA723" s="4"/>
      <c r="AB723" s="4"/>
    </row>
    <row r="724" spans="1:206" x14ac:dyDescent="0.2">
      <c r="A724" s="4">
        <v>50</v>
      </c>
      <c r="B724" s="4">
        <v>0</v>
      </c>
      <c r="C724" s="4">
        <v>0</v>
      </c>
      <c r="D724" s="4">
        <v>1</v>
      </c>
      <c r="E724" s="4">
        <v>206</v>
      </c>
      <c r="F724" s="4">
        <f>ROUND(Source!T703,O724)</f>
        <v>0</v>
      </c>
      <c r="G724" s="4" t="s">
        <v>81</v>
      </c>
      <c r="H724" s="4" t="s">
        <v>82</v>
      </c>
      <c r="I724" s="4"/>
      <c r="J724" s="4"/>
      <c r="K724" s="4">
        <v>206</v>
      </c>
      <c r="L724" s="4">
        <v>20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0</v>
      </c>
      <c r="X724" s="4">
        <v>1</v>
      </c>
      <c r="Y724" s="4">
        <v>0</v>
      </c>
      <c r="Z724" s="4"/>
      <c r="AA724" s="4"/>
      <c r="AB724" s="4"/>
    </row>
    <row r="725" spans="1:206" x14ac:dyDescent="0.2">
      <c r="A725" s="4">
        <v>50</v>
      </c>
      <c r="B725" s="4">
        <v>0</v>
      </c>
      <c r="C725" s="4">
        <v>0</v>
      </c>
      <c r="D725" s="4">
        <v>1</v>
      </c>
      <c r="E725" s="4">
        <v>207</v>
      </c>
      <c r="F725" s="4">
        <f>Source!U703</f>
        <v>603.01307999999995</v>
      </c>
      <c r="G725" s="4" t="s">
        <v>83</v>
      </c>
      <c r="H725" s="4" t="s">
        <v>84</v>
      </c>
      <c r="I725" s="4"/>
      <c r="J725" s="4"/>
      <c r="K725" s="4">
        <v>207</v>
      </c>
      <c r="L725" s="4">
        <v>21</v>
      </c>
      <c r="M725" s="4">
        <v>3</v>
      </c>
      <c r="N725" s="4" t="s">
        <v>3</v>
      </c>
      <c r="O725" s="4">
        <v>-1</v>
      </c>
      <c r="P725" s="4"/>
      <c r="Q725" s="4"/>
      <c r="R725" s="4"/>
      <c r="S725" s="4"/>
      <c r="T725" s="4"/>
      <c r="U725" s="4"/>
      <c r="V725" s="4"/>
      <c r="W725" s="4">
        <v>603.01307999999983</v>
      </c>
      <c r="X725" s="4">
        <v>1</v>
      </c>
      <c r="Y725" s="4">
        <v>603.01307999999983</v>
      </c>
      <c r="Z725" s="4"/>
      <c r="AA725" s="4"/>
      <c r="AB725" s="4"/>
    </row>
    <row r="726" spans="1:206" x14ac:dyDescent="0.2">
      <c r="A726" s="4">
        <v>50</v>
      </c>
      <c r="B726" s="4">
        <v>0</v>
      </c>
      <c r="C726" s="4">
        <v>0</v>
      </c>
      <c r="D726" s="4">
        <v>1</v>
      </c>
      <c r="E726" s="4">
        <v>208</v>
      </c>
      <c r="F726" s="4">
        <f>Source!V703</f>
        <v>0</v>
      </c>
      <c r="G726" s="4" t="s">
        <v>85</v>
      </c>
      <c r="H726" s="4" t="s">
        <v>86</v>
      </c>
      <c r="I726" s="4"/>
      <c r="J726" s="4"/>
      <c r="K726" s="4">
        <v>208</v>
      </c>
      <c r="L726" s="4">
        <v>22</v>
      </c>
      <c r="M726" s="4">
        <v>3</v>
      </c>
      <c r="N726" s="4" t="s">
        <v>3</v>
      </c>
      <c r="O726" s="4">
        <v>-1</v>
      </c>
      <c r="P726" s="4"/>
      <c r="Q726" s="4"/>
      <c r="R726" s="4"/>
      <c r="S726" s="4"/>
      <c r="T726" s="4"/>
      <c r="U726" s="4"/>
      <c r="V726" s="4"/>
      <c r="W726" s="4">
        <v>0</v>
      </c>
      <c r="X726" s="4">
        <v>1</v>
      </c>
      <c r="Y726" s="4">
        <v>0</v>
      </c>
      <c r="Z726" s="4"/>
      <c r="AA726" s="4"/>
      <c r="AB726" s="4"/>
    </row>
    <row r="727" spans="1:206" x14ac:dyDescent="0.2">
      <c r="A727" s="4">
        <v>50</v>
      </c>
      <c r="B727" s="4">
        <v>0</v>
      </c>
      <c r="C727" s="4">
        <v>0</v>
      </c>
      <c r="D727" s="4">
        <v>1</v>
      </c>
      <c r="E727" s="4">
        <v>209</v>
      </c>
      <c r="F727" s="4">
        <f>ROUND(Source!W703,O727)</f>
        <v>0</v>
      </c>
      <c r="G727" s="4" t="s">
        <v>87</v>
      </c>
      <c r="H727" s="4" t="s">
        <v>88</v>
      </c>
      <c r="I727" s="4"/>
      <c r="J727" s="4"/>
      <c r="K727" s="4">
        <v>209</v>
      </c>
      <c r="L727" s="4">
        <v>23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06" x14ac:dyDescent="0.2">
      <c r="A728" s="4">
        <v>50</v>
      </c>
      <c r="B728" s="4">
        <v>0</v>
      </c>
      <c r="C728" s="4">
        <v>0</v>
      </c>
      <c r="D728" s="4">
        <v>1</v>
      </c>
      <c r="E728" s="4">
        <v>233</v>
      </c>
      <c r="F728" s="4">
        <f>ROUND(Source!BD703,O728)</f>
        <v>0</v>
      </c>
      <c r="G728" s="4" t="s">
        <v>89</v>
      </c>
      <c r="H728" s="4" t="s">
        <v>90</v>
      </c>
      <c r="I728" s="4"/>
      <c r="J728" s="4"/>
      <c r="K728" s="4">
        <v>233</v>
      </c>
      <c r="L728" s="4">
        <v>24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0</v>
      </c>
      <c r="X728" s="4">
        <v>1</v>
      </c>
      <c r="Y728" s="4">
        <v>0</v>
      </c>
      <c r="Z728" s="4"/>
      <c r="AA728" s="4"/>
      <c r="AB728" s="4"/>
    </row>
    <row r="729" spans="1:206" x14ac:dyDescent="0.2">
      <c r="A729" s="4">
        <v>50</v>
      </c>
      <c r="B729" s="4">
        <v>0</v>
      </c>
      <c r="C729" s="4">
        <v>0</v>
      </c>
      <c r="D729" s="4">
        <v>1</v>
      </c>
      <c r="E729" s="4">
        <v>210</v>
      </c>
      <c r="F729" s="4">
        <f>ROUND(Source!X703,O729)</f>
        <v>252691.7</v>
      </c>
      <c r="G729" s="4" t="s">
        <v>91</v>
      </c>
      <c r="H729" s="4" t="s">
        <v>92</v>
      </c>
      <c r="I729" s="4"/>
      <c r="J729" s="4"/>
      <c r="K729" s="4">
        <v>210</v>
      </c>
      <c r="L729" s="4">
        <v>25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252691.7</v>
      </c>
      <c r="X729" s="4">
        <v>1</v>
      </c>
      <c r="Y729" s="4">
        <v>252691.7</v>
      </c>
      <c r="Z729" s="4"/>
      <c r="AA729" s="4"/>
      <c r="AB729" s="4"/>
    </row>
    <row r="730" spans="1:206" x14ac:dyDescent="0.2">
      <c r="A730" s="4">
        <v>50</v>
      </c>
      <c r="B730" s="4">
        <v>0</v>
      </c>
      <c r="C730" s="4">
        <v>0</v>
      </c>
      <c r="D730" s="4">
        <v>1</v>
      </c>
      <c r="E730" s="4">
        <v>211</v>
      </c>
      <c r="F730" s="4">
        <f>ROUND(Source!Y703,O730)</f>
        <v>36098.839999999997</v>
      </c>
      <c r="G730" s="4" t="s">
        <v>93</v>
      </c>
      <c r="H730" s="4" t="s">
        <v>94</v>
      </c>
      <c r="I730" s="4"/>
      <c r="J730" s="4"/>
      <c r="K730" s="4">
        <v>211</v>
      </c>
      <c r="L730" s="4">
        <v>26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36098.839999999997</v>
      </c>
      <c r="X730" s="4">
        <v>1</v>
      </c>
      <c r="Y730" s="4">
        <v>36098.839999999997</v>
      </c>
      <c r="Z730" s="4"/>
      <c r="AA730" s="4"/>
      <c r="AB730" s="4"/>
    </row>
    <row r="731" spans="1:206" x14ac:dyDescent="0.2">
      <c r="A731" s="4">
        <v>50</v>
      </c>
      <c r="B731" s="4">
        <v>0</v>
      </c>
      <c r="C731" s="4">
        <v>0</v>
      </c>
      <c r="D731" s="4">
        <v>1</v>
      </c>
      <c r="E731" s="4">
        <v>224</v>
      </c>
      <c r="F731" s="4">
        <f>ROUND(Source!AR703,O731)</f>
        <v>655472.31999999995</v>
      </c>
      <c r="G731" s="4" t="s">
        <v>95</v>
      </c>
      <c r="H731" s="4" t="s">
        <v>96</v>
      </c>
      <c r="I731" s="4"/>
      <c r="J731" s="4"/>
      <c r="K731" s="4">
        <v>224</v>
      </c>
      <c r="L731" s="4">
        <v>27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655472.31999999995</v>
      </c>
      <c r="X731" s="4">
        <v>1</v>
      </c>
      <c r="Y731" s="4">
        <v>655472.31999999995</v>
      </c>
      <c r="Z731" s="4"/>
      <c r="AA731" s="4"/>
      <c r="AB731" s="4"/>
    </row>
    <row r="733" spans="1:206" x14ac:dyDescent="0.2">
      <c r="A733" s="2">
        <v>51</v>
      </c>
      <c r="B733" s="2">
        <f>B20</f>
        <v>1</v>
      </c>
      <c r="C733" s="2">
        <f>A20</f>
        <v>3</v>
      </c>
      <c r="D733" s="2">
        <f>ROW(A20)</f>
        <v>20</v>
      </c>
      <c r="E733" s="2"/>
      <c r="F733" s="2" t="str">
        <f>IF(F20&lt;&gt;"",F20,"")</f>
        <v/>
      </c>
      <c r="G733" s="2" t="str">
        <f>IF(G20&lt;&gt;"",G20,"")</f>
        <v>Новая локальная смета</v>
      </c>
      <c r="H733" s="2">
        <v>0</v>
      </c>
      <c r="I733" s="2"/>
      <c r="J733" s="2"/>
      <c r="K733" s="2"/>
      <c r="L733" s="2"/>
      <c r="M733" s="2"/>
      <c r="N733" s="2"/>
      <c r="O733" s="2">
        <f t="shared" ref="O733:T733" si="417">ROUND(O303+O374+O456+O703+AB733,2)</f>
        <v>428044.55</v>
      </c>
      <c r="P733" s="2">
        <f t="shared" si="417"/>
        <v>4703.1400000000003</v>
      </c>
      <c r="Q733" s="2">
        <f t="shared" si="417"/>
        <v>5898.12</v>
      </c>
      <c r="R733" s="2">
        <f t="shared" si="417"/>
        <v>3727.91</v>
      </c>
      <c r="S733" s="2">
        <f t="shared" si="417"/>
        <v>417443.29</v>
      </c>
      <c r="T733" s="2">
        <f t="shared" si="417"/>
        <v>0</v>
      </c>
      <c r="U733" s="2">
        <f>U303+U374+U456+U703+AH733</f>
        <v>699.73298</v>
      </c>
      <c r="V733" s="2">
        <f>V303+V374+V456+V703+AI733</f>
        <v>0</v>
      </c>
      <c r="W733" s="2">
        <f>ROUND(W303+W374+W456+W703+AJ733,2)</f>
        <v>0</v>
      </c>
      <c r="X733" s="2">
        <f>ROUND(X303+X374+X456+X703+AK733,2)</f>
        <v>292210.33</v>
      </c>
      <c r="Y733" s="2">
        <f>ROUND(Y303+Y374+Y456+Y703+AL733,2)</f>
        <v>41744.35</v>
      </c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>
        <f t="shared" ref="AO733:BD733" si="418">ROUND(AO303+AO374+AO456+AO703+BX733,2)</f>
        <v>0</v>
      </c>
      <c r="AP733" s="2">
        <f t="shared" si="418"/>
        <v>0</v>
      </c>
      <c r="AQ733" s="2">
        <f t="shared" si="418"/>
        <v>0</v>
      </c>
      <c r="AR733" s="2">
        <f t="shared" si="418"/>
        <v>766025.38</v>
      </c>
      <c r="AS733" s="2">
        <f t="shared" si="418"/>
        <v>0</v>
      </c>
      <c r="AT733" s="2">
        <f t="shared" si="418"/>
        <v>0</v>
      </c>
      <c r="AU733" s="2">
        <f t="shared" si="418"/>
        <v>766025.38</v>
      </c>
      <c r="AV733" s="2">
        <f t="shared" si="418"/>
        <v>4703.1400000000003</v>
      </c>
      <c r="AW733" s="2">
        <f t="shared" si="418"/>
        <v>4703.1400000000003</v>
      </c>
      <c r="AX733" s="2">
        <f t="shared" si="418"/>
        <v>0</v>
      </c>
      <c r="AY733" s="2">
        <f t="shared" si="418"/>
        <v>4703.1400000000003</v>
      </c>
      <c r="AZ733" s="2">
        <f t="shared" si="418"/>
        <v>0</v>
      </c>
      <c r="BA733" s="2">
        <f t="shared" si="418"/>
        <v>0</v>
      </c>
      <c r="BB733" s="2">
        <f t="shared" si="418"/>
        <v>0</v>
      </c>
      <c r="BC733" s="2">
        <f t="shared" si="418"/>
        <v>0</v>
      </c>
      <c r="BD733" s="2">
        <f t="shared" si="418"/>
        <v>0</v>
      </c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3"/>
      <c r="DH733" s="3"/>
      <c r="DI733" s="3"/>
      <c r="DJ733" s="3"/>
      <c r="DK733" s="3"/>
      <c r="DL733" s="3"/>
      <c r="DM733" s="3"/>
      <c r="DN733" s="3"/>
      <c r="DO733" s="3"/>
      <c r="DP733" s="3"/>
      <c r="DQ733" s="3"/>
      <c r="DR733" s="3"/>
      <c r="DS733" s="3"/>
      <c r="DT733" s="3"/>
      <c r="DU733" s="3"/>
      <c r="DV733" s="3"/>
      <c r="DW733" s="3"/>
      <c r="DX733" s="3"/>
      <c r="DY733" s="3"/>
      <c r="DZ733" s="3"/>
      <c r="EA733" s="3"/>
      <c r="EB733" s="3"/>
      <c r="EC733" s="3"/>
      <c r="ED733" s="3"/>
      <c r="EE733" s="3"/>
      <c r="EF733" s="3"/>
      <c r="EG733" s="3"/>
      <c r="EH733" s="3"/>
      <c r="EI733" s="3"/>
      <c r="EJ733" s="3"/>
      <c r="EK733" s="3"/>
      <c r="EL733" s="3"/>
      <c r="EM733" s="3"/>
      <c r="EN733" s="3"/>
      <c r="EO733" s="3"/>
      <c r="EP733" s="3"/>
      <c r="EQ733" s="3"/>
      <c r="ER733" s="3"/>
      <c r="ES733" s="3"/>
      <c r="ET733" s="3"/>
      <c r="EU733" s="3"/>
      <c r="EV733" s="3"/>
      <c r="EW733" s="3"/>
      <c r="EX733" s="3"/>
      <c r="EY733" s="3"/>
      <c r="EZ733" s="3"/>
      <c r="FA733" s="3"/>
      <c r="FB733" s="3"/>
      <c r="FC733" s="3"/>
      <c r="FD733" s="3"/>
      <c r="FE733" s="3"/>
      <c r="FF733" s="3"/>
      <c r="FG733" s="3"/>
      <c r="FH733" s="3"/>
      <c r="FI733" s="3"/>
      <c r="FJ733" s="3"/>
      <c r="FK733" s="3"/>
      <c r="FL733" s="3"/>
      <c r="FM733" s="3"/>
      <c r="FN733" s="3"/>
      <c r="FO733" s="3"/>
      <c r="FP733" s="3"/>
      <c r="FQ733" s="3"/>
      <c r="FR733" s="3"/>
      <c r="FS733" s="3"/>
      <c r="FT733" s="3"/>
      <c r="FU733" s="3"/>
      <c r="FV733" s="3"/>
      <c r="FW733" s="3"/>
      <c r="FX733" s="3"/>
      <c r="FY733" s="3"/>
      <c r="FZ733" s="3"/>
      <c r="GA733" s="3"/>
      <c r="GB733" s="3"/>
      <c r="GC733" s="3"/>
      <c r="GD733" s="3"/>
      <c r="GE733" s="3"/>
      <c r="GF733" s="3"/>
      <c r="GG733" s="3"/>
      <c r="GH733" s="3"/>
      <c r="GI733" s="3"/>
      <c r="GJ733" s="3"/>
      <c r="GK733" s="3"/>
      <c r="GL733" s="3"/>
      <c r="GM733" s="3"/>
      <c r="GN733" s="3"/>
      <c r="GO733" s="3"/>
      <c r="GP733" s="3"/>
      <c r="GQ733" s="3"/>
      <c r="GR733" s="3"/>
      <c r="GS733" s="3"/>
      <c r="GT733" s="3"/>
      <c r="GU733" s="3"/>
      <c r="GV733" s="3"/>
      <c r="GW733" s="3"/>
      <c r="GX733" s="3">
        <v>0</v>
      </c>
    </row>
    <row r="735" spans="1:206" x14ac:dyDescent="0.2">
      <c r="A735" s="4">
        <v>50</v>
      </c>
      <c r="B735" s="4">
        <v>0</v>
      </c>
      <c r="C735" s="4">
        <v>0</v>
      </c>
      <c r="D735" s="4">
        <v>1</v>
      </c>
      <c r="E735" s="4">
        <v>201</v>
      </c>
      <c r="F735" s="4">
        <f>ROUND(Source!O733,O735)</f>
        <v>428044.55</v>
      </c>
      <c r="G735" s="4" t="s">
        <v>43</v>
      </c>
      <c r="H735" s="4" t="s">
        <v>44</v>
      </c>
      <c r="I735" s="4"/>
      <c r="J735" s="4"/>
      <c r="K735" s="4">
        <v>201</v>
      </c>
      <c r="L735" s="4">
        <v>1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428044.55</v>
      </c>
      <c r="X735" s="4">
        <v>1</v>
      </c>
      <c r="Y735" s="4">
        <v>428044.55</v>
      </c>
      <c r="Z735" s="4"/>
      <c r="AA735" s="4"/>
      <c r="AB735" s="4"/>
    </row>
    <row r="736" spans="1:206" x14ac:dyDescent="0.2">
      <c r="A736" s="4">
        <v>50</v>
      </c>
      <c r="B736" s="4">
        <v>0</v>
      </c>
      <c r="C736" s="4">
        <v>0</v>
      </c>
      <c r="D736" s="4">
        <v>1</v>
      </c>
      <c r="E736" s="4">
        <v>202</v>
      </c>
      <c r="F736" s="4">
        <f>ROUND(Source!P733,O736)</f>
        <v>4703.1400000000003</v>
      </c>
      <c r="G736" s="4" t="s">
        <v>45</v>
      </c>
      <c r="H736" s="4" t="s">
        <v>46</v>
      </c>
      <c r="I736" s="4"/>
      <c r="J736" s="4"/>
      <c r="K736" s="4">
        <v>202</v>
      </c>
      <c r="L736" s="4">
        <v>2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4703.1400000000003</v>
      </c>
      <c r="X736" s="4">
        <v>1</v>
      </c>
      <c r="Y736" s="4">
        <v>4703.1400000000003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222</v>
      </c>
      <c r="F737" s="4">
        <f>ROUND(Source!AO733,O737)</f>
        <v>0</v>
      </c>
      <c r="G737" s="4" t="s">
        <v>47</v>
      </c>
      <c r="H737" s="4" t="s">
        <v>48</v>
      </c>
      <c r="I737" s="4"/>
      <c r="J737" s="4"/>
      <c r="K737" s="4">
        <v>222</v>
      </c>
      <c r="L737" s="4">
        <v>3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225</v>
      </c>
      <c r="F738" s="4">
        <f>ROUND(Source!AV733,O738)</f>
        <v>4703.1400000000003</v>
      </c>
      <c r="G738" s="4" t="s">
        <v>49</v>
      </c>
      <c r="H738" s="4" t="s">
        <v>50</v>
      </c>
      <c r="I738" s="4"/>
      <c r="J738" s="4"/>
      <c r="K738" s="4">
        <v>225</v>
      </c>
      <c r="L738" s="4">
        <v>4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4703.1400000000003</v>
      </c>
      <c r="X738" s="4">
        <v>1</v>
      </c>
      <c r="Y738" s="4">
        <v>4703.1400000000003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226</v>
      </c>
      <c r="F739" s="4">
        <f>ROUND(Source!AW733,O739)</f>
        <v>4703.1400000000003</v>
      </c>
      <c r="G739" s="4" t="s">
        <v>51</v>
      </c>
      <c r="H739" s="4" t="s">
        <v>52</v>
      </c>
      <c r="I739" s="4"/>
      <c r="J739" s="4"/>
      <c r="K739" s="4">
        <v>226</v>
      </c>
      <c r="L739" s="4">
        <v>5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4703.1400000000003</v>
      </c>
      <c r="X739" s="4">
        <v>1</v>
      </c>
      <c r="Y739" s="4">
        <v>4703.1400000000003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227</v>
      </c>
      <c r="F740" s="4">
        <f>ROUND(Source!AX733,O740)</f>
        <v>0</v>
      </c>
      <c r="G740" s="4" t="s">
        <v>53</v>
      </c>
      <c r="H740" s="4" t="s">
        <v>54</v>
      </c>
      <c r="I740" s="4"/>
      <c r="J740" s="4"/>
      <c r="K740" s="4">
        <v>227</v>
      </c>
      <c r="L740" s="4">
        <v>6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228</v>
      </c>
      <c r="F741" s="4">
        <f>ROUND(Source!AY733,O741)</f>
        <v>4703.1400000000003</v>
      </c>
      <c r="G741" s="4" t="s">
        <v>55</v>
      </c>
      <c r="H741" s="4" t="s">
        <v>56</v>
      </c>
      <c r="I741" s="4"/>
      <c r="J741" s="4"/>
      <c r="K741" s="4">
        <v>228</v>
      </c>
      <c r="L741" s="4">
        <v>7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4703.1400000000003</v>
      </c>
      <c r="X741" s="4">
        <v>1</v>
      </c>
      <c r="Y741" s="4">
        <v>4703.1400000000003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216</v>
      </c>
      <c r="F742" s="4">
        <f>ROUND(Source!AP733,O742)</f>
        <v>0</v>
      </c>
      <c r="G742" s="4" t="s">
        <v>57</v>
      </c>
      <c r="H742" s="4" t="s">
        <v>58</v>
      </c>
      <c r="I742" s="4"/>
      <c r="J742" s="4"/>
      <c r="K742" s="4">
        <v>216</v>
      </c>
      <c r="L742" s="4">
        <v>8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223</v>
      </c>
      <c r="F743" s="4">
        <f>ROUND(Source!AQ733,O743)</f>
        <v>0</v>
      </c>
      <c r="G743" s="4" t="s">
        <v>59</v>
      </c>
      <c r="H743" s="4" t="s">
        <v>60</v>
      </c>
      <c r="I743" s="4"/>
      <c r="J743" s="4"/>
      <c r="K743" s="4">
        <v>223</v>
      </c>
      <c r="L743" s="4">
        <v>9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229</v>
      </c>
      <c r="F744" s="4">
        <f>ROUND(Source!AZ733,O744)</f>
        <v>0</v>
      </c>
      <c r="G744" s="4" t="s">
        <v>61</v>
      </c>
      <c r="H744" s="4" t="s">
        <v>62</v>
      </c>
      <c r="I744" s="4"/>
      <c r="J744" s="4"/>
      <c r="K744" s="4">
        <v>229</v>
      </c>
      <c r="L744" s="4">
        <v>10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203</v>
      </c>
      <c r="F745" s="4">
        <f>ROUND(Source!Q733,O745)</f>
        <v>5898.12</v>
      </c>
      <c r="G745" s="4" t="s">
        <v>63</v>
      </c>
      <c r="H745" s="4" t="s">
        <v>64</v>
      </c>
      <c r="I745" s="4"/>
      <c r="J745" s="4"/>
      <c r="K745" s="4">
        <v>203</v>
      </c>
      <c r="L745" s="4">
        <v>11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5898.12</v>
      </c>
      <c r="X745" s="4">
        <v>1</v>
      </c>
      <c r="Y745" s="4">
        <v>5898.12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231</v>
      </c>
      <c r="F746" s="4">
        <f>ROUND(Source!BB733,O746)</f>
        <v>0</v>
      </c>
      <c r="G746" s="4" t="s">
        <v>65</v>
      </c>
      <c r="H746" s="4" t="s">
        <v>66</v>
      </c>
      <c r="I746" s="4"/>
      <c r="J746" s="4"/>
      <c r="K746" s="4">
        <v>231</v>
      </c>
      <c r="L746" s="4">
        <v>12</v>
      </c>
      <c r="M746" s="4">
        <v>3</v>
      </c>
      <c r="N746" s="4" t="s">
        <v>3</v>
      </c>
      <c r="O746" s="4">
        <v>2</v>
      </c>
      <c r="P746" s="4"/>
      <c r="Q746" s="4"/>
      <c r="R746" s="4"/>
      <c r="S746" s="4"/>
      <c r="T746" s="4"/>
      <c r="U746" s="4"/>
      <c r="V746" s="4"/>
      <c r="W746" s="4">
        <v>0</v>
      </c>
      <c r="X746" s="4">
        <v>1</v>
      </c>
      <c r="Y746" s="4">
        <v>0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204</v>
      </c>
      <c r="F747" s="4">
        <f>ROUND(Source!R733,O747)</f>
        <v>3727.91</v>
      </c>
      <c r="G747" s="4" t="s">
        <v>67</v>
      </c>
      <c r="H747" s="4" t="s">
        <v>68</v>
      </c>
      <c r="I747" s="4"/>
      <c r="J747" s="4"/>
      <c r="K747" s="4">
        <v>204</v>
      </c>
      <c r="L747" s="4">
        <v>13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3727.91</v>
      </c>
      <c r="X747" s="4">
        <v>1</v>
      </c>
      <c r="Y747" s="4">
        <v>3727.91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205</v>
      </c>
      <c r="F748" s="4">
        <f>ROUND(Source!S733,O748)</f>
        <v>417443.29</v>
      </c>
      <c r="G748" s="4" t="s">
        <v>69</v>
      </c>
      <c r="H748" s="4" t="s">
        <v>70</v>
      </c>
      <c r="I748" s="4"/>
      <c r="J748" s="4"/>
      <c r="K748" s="4">
        <v>205</v>
      </c>
      <c r="L748" s="4">
        <v>14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417443.29</v>
      </c>
      <c r="X748" s="4">
        <v>1</v>
      </c>
      <c r="Y748" s="4">
        <v>417443.29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232</v>
      </c>
      <c r="F749" s="4">
        <f>ROUND(Source!BC733,O749)</f>
        <v>0</v>
      </c>
      <c r="G749" s="4" t="s">
        <v>71</v>
      </c>
      <c r="H749" s="4" t="s">
        <v>72</v>
      </c>
      <c r="I749" s="4"/>
      <c r="J749" s="4"/>
      <c r="K749" s="4">
        <v>232</v>
      </c>
      <c r="L749" s="4">
        <v>15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214</v>
      </c>
      <c r="F750" s="4">
        <f>ROUND(Source!AS733,O750)</f>
        <v>0</v>
      </c>
      <c r="G750" s="4" t="s">
        <v>73</v>
      </c>
      <c r="H750" s="4" t="s">
        <v>74</v>
      </c>
      <c r="I750" s="4"/>
      <c r="J750" s="4"/>
      <c r="K750" s="4">
        <v>214</v>
      </c>
      <c r="L750" s="4">
        <v>16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215</v>
      </c>
      <c r="F751" s="4">
        <f>ROUND(Source!AT733,O751)</f>
        <v>0</v>
      </c>
      <c r="G751" s="4" t="s">
        <v>75</v>
      </c>
      <c r="H751" s="4" t="s">
        <v>76</v>
      </c>
      <c r="I751" s="4"/>
      <c r="J751" s="4"/>
      <c r="K751" s="4">
        <v>215</v>
      </c>
      <c r="L751" s="4">
        <v>17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0</v>
      </c>
      <c r="X751" s="4">
        <v>1</v>
      </c>
      <c r="Y751" s="4">
        <v>0</v>
      </c>
      <c r="Z751" s="4"/>
      <c r="AA751" s="4"/>
      <c r="AB751" s="4"/>
    </row>
    <row r="752" spans="1:28" x14ac:dyDescent="0.2">
      <c r="A752" s="4">
        <v>50</v>
      </c>
      <c r="B752" s="4">
        <v>0</v>
      </c>
      <c r="C752" s="4">
        <v>0</v>
      </c>
      <c r="D752" s="4">
        <v>1</v>
      </c>
      <c r="E752" s="4">
        <v>217</v>
      </c>
      <c r="F752" s="4">
        <f>ROUND(Source!AU733,O752)</f>
        <v>766025.38</v>
      </c>
      <c r="G752" s="4" t="s">
        <v>77</v>
      </c>
      <c r="H752" s="4" t="s">
        <v>78</v>
      </c>
      <c r="I752" s="4"/>
      <c r="J752" s="4"/>
      <c r="K752" s="4">
        <v>217</v>
      </c>
      <c r="L752" s="4">
        <v>18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766025.38</v>
      </c>
      <c r="X752" s="4">
        <v>1</v>
      </c>
      <c r="Y752" s="4">
        <v>766025.38</v>
      </c>
      <c r="Z752" s="4"/>
      <c r="AA752" s="4"/>
      <c r="AB752" s="4"/>
    </row>
    <row r="753" spans="1:206" x14ac:dyDescent="0.2">
      <c r="A753" s="4">
        <v>50</v>
      </c>
      <c r="B753" s="4">
        <v>0</v>
      </c>
      <c r="C753" s="4">
        <v>0</v>
      </c>
      <c r="D753" s="4">
        <v>1</v>
      </c>
      <c r="E753" s="4">
        <v>230</v>
      </c>
      <c r="F753" s="4">
        <f>ROUND(Source!BA733,O753)</f>
        <v>0</v>
      </c>
      <c r="G753" s="4" t="s">
        <v>79</v>
      </c>
      <c r="H753" s="4" t="s">
        <v>80</v>
      </c>
      <c r="I753" s="4"/>
      <c r="J753" s="4"/>
      <c r="K753" s="4">
        <v>230</v>
      </c>
      <c r="L753" s="4">
        <v>19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0</v>
      </c>
      <c r="X753" s="4">
        <v>1</v>
      </c>
      <c r="Y753" s="4">
        <v>0</v>
      </c>
      <c r="Z753" s="4"/>
      <c r="AA753" s="4"/>
      <c r="AB753" s="4"/>
    </row>
    <row r="754" spans="1:206" x14ac:dyDescent="0.2">
      <c r="A754" s="4">
        <v>50</v>
      </c>
      <c r="B754" s="4">
        <v>0</v>
      </c>
      <c r="C754" s="4">
        <v>0</v>
      </c>
      <c r="D754" s="4">
        <v>1</v>
      </c>
      <c r="E754" s="4">
        <v>206</v>
      </c>
      <c r="F754" s="4">
        <f>ROUND(Source!T733,O754)</f>
        <v>0</v>
      </c>
      <c r="G754" s="4" t="s">
        <v>81</v>
      </c>
      <c r="H754" s="4" t="s">
        <v>82</v>
      </c>
      <c r="I754" s="4"/>
      <c r="J754" s="4"/>
      <c r="K754" s="4">
        <v>206</v>
      </c>
      <c r="L754" s="4">
        <v>20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06" x14ac:dyDescent="0.2">
      <c r="A755" s="4">
        <v>50</v>
      </c>
      <c r="B755" s="4">
        <v>0</v>
      </c>
      <c r="C755" s="4">
        <v>0</v>
      </c>
      <c r="D755" s="4">
        <v>1</v>
      </c>
      <c r="E755" s="4">
        <v>207</v>
      </c>
      <c r="F755" s="4">
        <f>Source!U733</f>
        <v>699.73298</v>
      </c>
      <c r="G755" s="4" t="s">
        <v>83</v>
      </c>
      <c r="H755" s="4" t="s">
        <v>84</v>
      </c>
      <c r="I755" s="4"/>
      <c r="J755" s="4"/>
      <c r="K755" s="4">
        <v>207</v>
      </c>
      <c r="L755" s="4">
        <v>21</v>
      </c>
      <c r="M755" s="4">
        <v>3</v>
      </c>
      <c r="N755" s="4" t="s">
        <v>3</v>
      </c>
      <c r="O755" s="4">
        <v>-1</v>
      </c>
      <c r="P755" s="4"/>
      <c r="Q755" s="4"/>
      <c r="R755" s="4"/>
      <c r="S755" s="4"/>
      <c r="T755" s="4"/>
      <c r="U755" s="4"/>
      <c r="V755" s="4"/>
      <c r="W755" s="4">
        <v>699.73297999999988</v>
      </c>
      <c r="X755" s="4">
        <v>1</v>
      </c>
      <c r="Y755" s="4">
        <v>699.73297999999988</v>
      </c>
      <c r="Z755" s="4"/>
      <c r="AA755" s="4"/>
      <c r="AB755" s="4"/>
    </row>
    <row r="756" spans="1:206" x14ac:dyDescent="0.2">
      <c r="A756" s="4">
        <v>50</v>
      </c>
      <c r="B756" s="4">
        <v>0</v>
      </c>
      <c r="C756" s="4">
        <v>0</v>
      </c>
      <c r="D756" s="4">
        <v>1</v>
      </c>
      <c r="E756" s="4">
        <v>208</v>
      </c>
      <c r="F756" s="4">
        <f>Source!V733</f>
        <v>0</v>
      </c>
      <c r="G756" s="4" t="s">
        <v>85</v>
      </c>
      <c r="H756" s="4" t="s">
        <v>86</v>
      </c>
      <c r="I756" s="4"/>
      <c r="J756" s="4"/>
      <c r="K756" s="4">
        <v>208</v>
      </c>
      <c r="L756" s="4">
        <v>22</v>
      </c>
      <c r="M756" s="4">
        <v>3</v>
      </c>
      <c r="N756" s="4" t="s">
        <v>3</v>
      </c>
      <c r="O756" s="4">
        <v>-1</v>
      </c>
      <c r="P756" s="4"/>
      <c r="Q756" s="4"/>
      <c r="R756" s="4"/>
      <c r="S756" s="4"/>
      <c r="T756" s="4"/>
      <c r="U756" s="4"/>
      <c r="V756" s="4"/>
      <c r="W756" s="4">
        <v>0</v>
      </c>
      <c r="X756" s="4">
        <v>1</v>
      </c>
      <c r="Y756" s="4">
        <v>0</v>
      </c>
      <c r="Z756" s="4"/>
      <c r="AA756" s="4"/>
      <c r="AB756" s="4"/>
    </row>
    <row r="757" spans="1:206" x14ac:dyDescent="0.2">
      <c r="A757" s="4">
        <v>50</v>
      </c>
      <c r="B757" s="4">
        <v>0</v>
      </c>
      <c r="C757" s="4">
        <v>0</v>
      </c>
      <c r="D757" s="4">
        <v>1</v>
      </c>
      <c r="E757" s="4">
        <v>209</v>
      </c>
      <c r="F757" s="4">
        <f>ROUND(Source!W733,O757)</f>
        <v>0</v>
      </c>
      <c r="G757" s="4" t="s">
        <v>87</v>
      </c>
      <c r="H757" s="4" t="s">
        <v>88</v>
      </c>
      <c r="I757" s="4"/>
      <c r="J757" s="4"/>
      <c r="K757" s="4">
        <v>209</v>
      </c>
      <c r="L757" s="4">
        <v>23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0</v>
      </c>
      <c r="X757" s="4">
        <v>1</v>
      </c>
      <c r="Y757" s="4">
        <v>0</v>
      </c>
      <c r="Z757" s="4"/>
      <c r="AA757" s="4"/>
      <c r="AB757" s="4"/>
    </row>
    <row r="758" spans="1:206" x14ac:dyDescent="0.2">
      <c r="A758" s="4">
        <v>50</v>
      </c>
      <c r="B758" s="4">
        <v>0</v>
      </c>
      <c r="C758" s="4">
        <v>0</v>
      </c>
      <c r="D758" s="4">
        <v>1</v>
      </c>
      <c r="E758" s="4">
        <v>233</v>
      </c>
      <c r="F758" s="4">
        <f>ROUND(Source!BD733,O758)</f>
        <v>0</v>
      </c>
      <c r="G758" s="4" t="s">
        <v>89</v>
      </c>
      <c r="H758" s="4" t="s">
        <v>90</v>
      </c>
      <c r="I758" s="4"/>
      <c r="J758" s="4"/>
      <c r="K758" s="4">
        <v>233</v>
      </c>
      <c r="L758" s="4">
        <v>24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0</v>
      </c>
      <c r="X758" s="4">
        <v>1</v>
      </c>
      <c r="Y758" s="4">
        <v>0</v>
      </c>
      <c r="Z758" s="4"/>
      <c r="AA758" s="4"/>
      <c r="AB758" s="4"/>
    </row>
    <row r="759" spans="1:206" x14ac:dyDescent="0.2">
      <c r="A759" s="4">
        <v>50</v>
      </c>
      <c r="B759" s="4">
        <v>0</v>
      </c>
      <c r="C759" s="4">
        <v>0</v>
      </c>
      <c r="D759" s="4">
        <v>1</v>
      </c>
      <c r="E759" s="4">
        <v>210</v>
      </c>
      <c r="F759" s="4">
        <f>ROUND(Source!X733,O759)</f>
        <v>292210.33</v>
      </c>
      <c r="G759" s="4" t="s">
        <v>91</v>
      </c>
      <c r="H759" s="4" t="s">
        <v>92</v>
      </c>
      <c r="I759" s="4"/>
      <c r="J759" s="4"/>
      <c r="K759" s="4">
        <v>210</v>
      </c>
      <c r="L759" s="4">
        <v>25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292210.33</v>
      </c>
      <c r="X759" s="4">
        <v>1</v>
      </c>
      <c r="Y759" s="4">
        <v>292210.33</v>
      </c>
      <c r="Z759" s="4"/>
      <c r="AA759" s="4"/>
      <c r="AB759" s="4"/>
    </row>
    <row r="760" spans="1:206" x14ac:dyDescent="0.2">
      <c r="A760" s="4">
        <v>50</v>
      </c>
      <c r="B760" s="4">
        <v>0</v>
      </c>
      <c r="C760" s="4">
        <v>0</v>
      </c>
      <c r="D760" s="4">
        <v>1</v>
      </c>
      <c r="E760" s="4">
        <v>211</v>
      </c>
      <c r="F760" s="4">
        <f>ROUND(Source!Y733,O760)</f>
        <v>41744.35</v>
      </c>
      <c r="G760" s="4" t="s">
        <v>93</v>
      </c>
      <c r="H760" s="4" t="s">
        <v>94</v>
      </c>
      <c r="I760" s="4"/>
      <c r="J760" s="4"/>
      <c r="K760" s="4">
        <v>211</v>
      </c>
      <c r="L760" s="4">
        <v>26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41744.35</v>
      </c>
      <c r="X760" s="4">
        <v>1</v>
      </c>
      <c r="Y760" s="4">
        <v>41744.35</v>
      </c>
      <c r="Z760" s="4"/>
      <c r="AA760" s="4"/>
      <c r="AB760" s="4"/>
    </row>
    <row r="761" spans="1:206" x14ac:dyDescent="0.2">
      <c r="A761" s="4">
        <v>50</v>
      </c>
      <c r="B761" s="4">
        <v>0</v>
      </c>
      <c r="C761" s="4">
        <v>0</v>
      </c>
      <c r="D761" s="4">
        <v>1</v>
      </c>
      <c r="E761" s="4">
        <v>224</v>
      </c>
      <c r="F761" s="4">
        <f>ROUND(Source!AR733,O761)</f>
        <v>766025.38</v>
      </c>
      <c r="G761" s="4" t="s">
        <v>95</v>
      </c>
      <c r="H761" s="4" t="s">
        <v>96</v>
      </c>
      <c r="I761" s="4"/>
      <c r="J761" s="4"/>
      <c r="K761" s="4">
        <v>224</v>
      </c>
      <c r="L761" s="4">
        <v>27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766025.38</v>
      </c>
      <c r="X761" s="4">
        <v>1</v>
      </c>
      <c r="Y761" s="4">
        <v>766025.38</v>
      </c>
      <c r="Z761" s="4"/>
      <c r="AA761" s="4"/>
      <c r="AB761" s="4"/>
    </row>
    <row r="763" spans="1:206" x14ac:dyDescent="0.2">
      <c r="A763" s="2">
        <v>51</v>
      </c>
      <c r="B763" s="2">
        <f>B12</f>
        <v>802</v>
      </c>
      <c r="C763" s="2">
        <f>A12</f>
        <v>1</v>
      </c>
      <c r="D763" s="2">
        <f>ROW(A12)</f>
        <v>12</v>
      </c>
      <c r="E763" s="2"/>
      <c r="F763" s="2" t="str">
        <f>IF(F12&lt;&gt;"",F12,"")</f>
        <v/>
      </c>
      <c r="G763" s="2" t="str">
        <f>IF(G12&lt;&gt;"",G12,"")</f>
        <v>Паркинг 2_на 4 мес. (10%)</v>
      </c>
      <c r="H763" s="2">
        <v>0</v>
      </c>
      <c r="I763" s="2"/>
      <c r="J763" s="2"/>
      <c r="K763" s="2"/>
      <c r="L763" s="2"/>
      <c r="M763" s="2"/>
      <c r="N763" s="2"/>
      <c r="O763" s="2">
        <f t="shared" ref="O763:T763" si="419">ROUND(O733,2)</f>
        <v>428044.55</v>
      </c>
      <c r="P763" s="2">
        <f t="shared" si="419"/>
        <v>4703.1400000000003</v>
      </c>
      <c r="Q763" s="2">
        <f t="shared" si="419"/>
        <v>5898.12</v>
      </c>
      <c r="R763" s="2">
        <f t="shared" si="419"/>
        <v>3727.91</v>
      </c>
      <c r="S763" s="2">
        <f t="shared" si="419"/>
        <v>417443.29</v>
      </c>
      <c r="T763" s="2">
        <f t="shared" si="419"/>
        <v>0</v>
      </c>
      <c r="U763" s="2">
        <f>U733</f>
        <v>699.73298</v>
      </c>
      <c r="V763" s="2">
        <f>V733</f>
        <v>0</v>
      </c>
      <c r="W763" s="2">
        <f>ROUND(W733,2)</f>
        <v>0</v>
      </c>
      <c r="X763" s="2">
        <f>ROUND(X733,2)</f>
        <v>292210.33</v>
      </c>
      <c r="Y763" s="2">
        <f>ROUND(Y733,2)</f>
        <v>41744.35</v>
      </c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>
        <f t="shared" ref="AO763:BD763" si="420">ROUND(AO733,2)</f>
        <v>0</v>
      </c>
      <c r="AP763" s="2">
        <f t="shared" si="420"/>
        <v>0</v>
      </c>
      <c r="AQ763" s="2">
        <f t="shared" si="420"/>
        <v>0</v>
      </c>
      <c r="AR763" s="2">
        <f t="shared" si="420"/>
        <v>766025.38</v>
      </c>
      <c r="AS763" s="2">
        <f t="shared" si="420"/>
        <v>0</v>
      </c>
      <c r="AT763" s="2">
        <f t="shared" si="420"/>
        <v>0</v>
      </c>
      <c r="AU763" s="2">
        <f t="shared" si="420"/>
        <v>766025.38</v>
      </c>
      <c r="AV763" s="2">
        <f t="shared" si="420"/>
        <v>4703.1400000000003</v>
      </c>
      <c r="AW763" s="2">
        <f t="shared" si="420"/>
        <v>4703.1400000000003</v>
      </c>
      <c r="AX763" s="2">
        <f t="shared" si="420"/>
        <v>0</v>
      </c>
      <c r="AY763" s="2">
        <f t="shared" si="420"/>
        <v>4703.1400000000003</v>
      </c>
      <c r="AZ763" s="2">
        <f t="shared" si="420"/>
        <v>0</v>
      </c>
      <c r="BA763" s="2">
        <f t="shared" si="420"/>
        <v>0</v>
      </c>
      <c r="BB763" s="2">
        <f t="shared" si="420"/>
        <v>0</v>
      </c>
      <c r="BC763" s="2">
        <f t="shared" si="420"/>
        <v>0</v>
      </c>
      <c r="BD763" s="2">
        <f t="shared" si="420"/>
        <v>0</v>
      </c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  <c r="CZ763" s="2"/>
      <c r="DA763" s="2"/>
      <c r="DB763" s="2"/>
      <c r="DC763" s="2"/>
      <c r="DD763" s="2"/>
      <c r="DE763" s="2"/>
      <c r="DF763" s="2"/>
      <c r="DG763" s="3"/>
      <c r="DH763" s="3"/>
      <c r="DI763" s="3"/>
      <c r="DJ763" s="3"/>
      <c r="DK763" s="3"/>
      <c r="DL763" s="3"/>
      <c r="DM763" s="3"/>
      <c r="DN763" s="3"/>
      <c r="DO763" s="3"/>
      <c r="DP763" s="3"/>
      <c r="DQ763" s="3"/>
      <c r="DR763" s="3"/>
      <c r="DS763" s="3"/>
      <c r="DT763" s="3"/>
      <c r="DU763" s="3"/>
      <c r="DV763" s="3"/>
      <c r="DW763" s="3"/>
      <c r="DX763" s="3"/>
      <c r="DY763" s="3"/>
      <c r="DZ763" s="3"/>
      <c r="EA763" s="3"/>
      <c r="EB763" s="3"/>
      <c r="EC763" s="3"/>
      <c r="ED763" s="3"/>
      <c r="EE763" s="3"/>
      <c r="EF763" s="3"/>
      <c r="EG763" s="3"/>
      <c r="EH763" s="3"/>
      <c r="EI763" s="3"/>
      <c r="EJ763" s="3"/>
      <c r="EK763" s="3"/>
      <c r="EL763" s="3"/>
      <c r="EM763" s="3"/>
      <c r="EN763" s="3"/>
      <c r="EO763" s="3"/>
      <c r="EP763" s="3"/>
      <c r="EQ763" s="3"/>
      <c r="ER763" s="3"/>
      <c r="ES763" s="3"/>
      <c r="ET763" s="3"/>
      <c r="EU763" s="3"/>
      <c r="EV763" s="3"/>
      <c r="EW763" s="3"/>
      <c r="EX763" s="3"/>
      <c r="EY763" s="3"/>
      <c r="EZ763" s="3"/>
      <c r="FA763" s="3"/>
      <c r="FB763" s="3"/>
      <c r="FC763" s="3"/>
      <c r="FD763" s="3"/>
      <c r="FE763" s="3"/>
      <c r="FF763" s="3"/>
      <c r="FG763" s="3"/>
      <c r="FH763" s="3"/>
      <c r="FI763" s="3"/>
      <c r="FJ763" s="3"/>
      <c r="FK763" s="3"/>
      <c r="FL763" s="3"/>
      <c r="FM763" s="3"/>
      <c r="FN763" s="3"/>
      <c r="FO763" s="3"/>
      <c r="FP763" s="3"/>
      <c r="FQ763" s="3"/>
      <c r="FR763" s="3"/>
      <c r="FS763" s="3"/>
      <c r="FT763" s="3"/>
      <c r="FU763" s="3"/>
      <c r="FV763" s="3"/>
      <c r="FW763" s="3"/>
      <c r="FX763" s="3"/>
      <c r="FY763" s="3"/>
      <c r="FZ763" s="3"/>
      <c r="GA763" s="3"/>
      <c r="GB763" s="3"/>
      <c r="GC763" s="3"/>
      <c r="GD763" s="3"/>
      <c r="GE763" s="3"/>
      <c r="GF763" s="3"/>
      <c r="GG763" s="3"/>
      <c r="GH763" s="3"/>
      <c r="GI763" s="3"/>
      <c r="GJ763" s="3"/>
      <c r="GK763" s="3"/>
      <c r="GL763" s="3"/>
      <c r="GM763" s="3"/>
      <c r="GN763" s="3"/>
      <c r="GO763" s="3"/>
      <c r="GP763" s="3"/>
      <c r="GQ763" s="3"/>
      <c r="GR763" s="3"/>
      <c r="GS763" s="3"/>
      <c r="GT763" s="3"/>
      <c r="GU763" s="3"/>
      <c r="GV763" s="3"/>
      <c r="GW763" s="3"/>
      <c r="GX763" s="3">
        <v>0</v>
      </c>
    </row>
    <row r="765" spans="1:206" x14ac:dyDescent="0.2">
      <c r="A765" s="4">
        <v>50</v>
      </c>
      <c r="B765" s="4">
        <v>0</v>
      </c>
      <c r="C765" s="4">
        <v>0</v>
      </c>
      <c r="D765" s="4">
        <v>1</v>
      </c>
      <c r="E765" s="4">
        <v>201</v>
      </c>
      <c r="F765" s="4">
        <f>ROUND(Source!O763,O765)</f>
        <v>428044.55</v>
      </c>
      <c r="G765" s="4" t="s">
        <v>43</v>
      </c>
      <c r="H765" s="4" t="s">
        <v>44</v>
      </c>
      <c r="I765" s="4"/>
      <c r="J765" s="4"/>
      <c r="K765" s="4">
        <v>201</v>
      </c>
      <c r="L765" s="4">
        <v>1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428044.55</v>
      </c>
      <c r="X765" s="4">
        <v>1</v>
      </c>
      <c r="Y765" s="4">
        <v>428044.55</v>
      </c>
      <c r="Z765" s="4"/>
      <c r="AA765" s="4"/>
      <c r="AB765" s="4"/>
    </row>
    <row r="766" spans="1:206" x14ac:dyDescent="0.2">
      <c r="A766" s="4">
        <v>50</v>
      </c>
      <c r="B766" s="4">
        <v>0</v>
      </c>
      <c r="C766" s="4">
        <v>0</v>
      </c>
      <c r="D766" s="4">
        <v>1</v>
      </c>
      <c r="E766" s="4">
        <v>202</v>
      </c>
      <c r="F766" s="4">
        <f>ROUND(Source!P763,O766)</f>
        <v>4703.1400000000003</v>
      </c>
      <c r="G766" s="4" t="s">
        <v>45</v>
      </c>
      <c r="H766" s="4" t="s">
        <v>46</v>
      </c>
      <c r="I766" s="4"/>
      <c r="J766" s="4"/>
      <c r="K766" s="4">
        <v>202</v>
      </c>
      <c r="L766" s="4">
        <v>2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4703.1400000000003</v>
      </c>
      <c r="X766" s="4">
        <v>1</v>
      </c>
      <c r="Y766" s="4">
        <v>4703.1400000000003</v>
      </c>
      <c r="Z766" s="4"/>
      <c r="AA766" s="4"/>
      <c r="AB766" s="4"/>
    </row>
    <row r="767" spans="1:206" x14ac:dyDescent="0.2">
      <c r="A767" s="4">
        <v>50</v>
      </c>
      <c r="B767" s="4">
        <v>0</v>
      </c>
      <c r="C767" s="4">
        <v>0</v>
      </c>
      <c r="D767" s="4">
        <v>1</v>
      </c>
      <c r="E767" s="4">
        <v>222</v>
      </c>
      <c r="F767" s="4">
        <f>ROUND(Source!AO763,O767)</f>
        <v>0</v>
      </c>
      <c r="G767" s="4" t="s">
        <v>47</v>
      </c>
      <c r="H767" s="4" t="s">
        <v>48</v>
      </c>
      <c r="I767" s="4"/>
      <c r="J767" s="4"/>
      <c r="K767" s="4">
        <v>222</v>
      </c>
      <c r="L767" s="4">
        <v>3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06" x14ac:dyDescent="0.2">
      <c r="A768" s="4">
        <v>50</v>
      </c>
      <c r="B768" s="4">
        <v>0</v>
      </c>
      <c r="C768" s="4">
        <v>0</v>
      </c>
      <c r="D768" s="4">
        <v>1</v>
      </c>
      <c r="E768" s="4">
        <v>225</v>
      </c>
      <c r="F768" s="4">
        <f>ROUND(Source!AV763,O768)</f>
        <v>4703.1400000000003</v>
      </c>
      <c r="G768" s="4" t="s">
        <v>49</v>
      </c>
      <c r="H768" s="4" t="s">
        <v>50</v>
      </c>
      <c r="I768" s="4"/>
      <c r="J768" s="4"/>
      <c r="K768" s="4">
        <v>225</v>
      </c>
      <c r="L768" s="4">
        <v>4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4703.1400000000003</v>
      </c>
      <c r="X768" s="4">
        <v>1</v>
      </c>
      <c r="Y768" s="4">
        <v>4703.1400000000003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226</v>
      </c>
      <c r="F769" s="4">
        <f>ROUND(Source!AW763,O769)</f>
        <v>4703.1400000000003</v>
      </c>
      <c r="G769" s="4" t="s">
        <v>51</v>
      </c>
      <c r="H769" s="4" t="s">
        <v>52</v>
      </c>
      <c r="I769" s="4"/>
      <c r="J769" s="4"/>
      <c r="K769" s="4">
        <v>226</v>
      </c>
      <c r="L769" s="4">
        <v>5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4703.1400000000003</v>
      </c>
      <c r="X769" s="4">
        <v>1</v>
      </c>
      <c r="Y769" s="4">
        <v>4703.1400000000003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227</v>
      </c>
      <c r="F770" s="4">
        <f>ROUND(Source!AX763,O770)</f>
        <v>0</v>
      </c>
      <c r="G770" s="4" t="s">
        <v>53</v>
      </c>
      <c r="H770" s="4" t="s">
        <v>54</v>
      </c>
      <c r="I770" s="4"/>
      <c r="J770" s="4"/>
      <c r="K770" s="4">
        <v>227</v>
      </c>
      <c r="L770" s="4">
        <v>6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228</v>
      </c>
      <c r="F771" s="4">
        <f>ROUND(Source!AY763,O771)</f>
        <v>4703.1400000000003</v>
      </c>
      <c r="G771" s="4" t="s">
        <v>55</v>
      </c>
      <c r="H771" s="4" t="s">
        <v>56</v>
      </c>
      <c r="I771" s="4"/>
      <c r="J771" s="4"/>
      <c r="K771" s="4">
        <v>228</v>
      </c>
      <c r="L771" s="4">
        <v>7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4703.1400000000003</v>
      </c>
      <c r="X771" s="4">
        <v>1</v>
      </c>
      <c r="Y771" s="4">
        <v>4703.1400000000003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216</v>
      </c>
      <c r="F772" s="4">
        <f>ROUND(Source!AP763,O772)</f>
        <v>0</v>
      </c>
      <c r="G772" s="4" t="s">
        <v>57</v>
      </c>
      <c r="H772" s="4" t="s">
        <v>58</v>
      </c>
      <c r="I772" s="4"/>
      <c r="J772" s="4"/>
      <c r="K772" s="4">
        <v>216</v>
      </c>
      <c r="L772" s="4">
        <v>8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223</v>
      </c>
      <c r="F773" s="4">
        <f>ROUND(Source!AQ763,O773)</f>
        <v>0</v>
      </c>
      <c r="G773" s="4" t="s">
        <v>59</v>
      </c>
      <c r="H773" s="4" t="s">
        <v>60</v>
      </c>
      <c r="I773" s="4"/>
      <c r="J773" s="4"/>
      <c r="K773" s="4">
        <v>223</v>
      </c>
      <c r="L773" s="4">
        <v>9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229</v>
      </c>
      <c r="F774" s="4">
        <f>ROUND(Source!AZ763,O774)</f>
        <v>0</v>
      </c>
      <c r="G774" s="4" t="s">
        <v>61</v>
      </c>
      <c r="H774" s="4" t="s">
        <v>62</v>
      </c>
      <c r="I774" s="4"/>
      <c r="J774" s="4"/>
      <c r="K774" s="4">
        <v>229</v>
      </c>
      <c r="L774" s="4">
        <v>10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203</v>
      </c>
      <c r="F775" s="4">
        <f>ROUND(Source!Q763,O775)</f>
        <v>5898.12</v>
      </c>
      <c r="G775" s="4" t="s">
        <v>63</v>
      </c>
      <c r="H775" s="4" t="s">
        <v>64</v>
      </c>
      <c r="I775" s="4"/>
      <c r="J775" s="4"/>
      <c r="K775" s="4">
        <v>203</v>
      </c>
      <c r="L775" s="4">
        <v>11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5898.12</v>
      </c>
      <c r="X775" s="4">
        <v>1</v>
      </c>
      <c r="Y775" s="4">
        <v>5898.12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231</v>
      </c>
      <c r="F776" s="4">
        <f>ROUND(Source!BB763,O776)</f>
        <v>0</v>
      </c>
      <c r="G776" s="4" t="s">
        <v>65</v>
      </c>
      <c r="H776" s="4" t="s">
        <v>66</v>
      </c>
      <c r="I776" s="4"/>
      <c r="J776" s="4"/>
      <c r="K776" s="4">
        <v>231</v>
      </c>
      <c r="L776" s="4">
        <v>12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0</v>
      </c>
      <c r="X776" s="4">
        <v>1</v>
      </c>
      <c r="Y776" s="4">
        <v>0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204</v>
      </c>
      <c r="F777" s="4">
        <f>ROUND(Source!R763,O777)</f>
        <v>3727.91</v>
      </c>
      <c r="G777" s="4" t="s">
        <v>67</v>
      </c>
      <c r="H777" s="4" t="s">
        <v>68</v>
      </c>
      <c r="I777" s="4"/>
      <c r="J777" s="4"/>
      <c r="K777" s="4">
        <v>204</v>
      </c>
      <c r="L777" s="4">
        <v>13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3727.91</v>
      </c>
      <c r="X777" s="4">
        <v>1</v>
      </c>
      <c r="Y777" s="4">
        <v>3727.91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205</v>
      </c>
      <c r="F778" s="4">
        <f>ROUND(Source!S763,O778)</f>
        <v>417443.29</v>
      </c>
      <c r="G778" s="4" t="s">
        <v>69</v>
      </c>
      <c r="H778" s="4" t="s">
        <v>70</v>
      </c>
      <c r="I778" s="4"/>
      <c r="J778" s="4"/>
      <c r="K778" s="4">
        <v>205</v>
      </c>
      <c r="L778" s="4">
        <v>14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417443.29</v>
      </c>
      <c r="X778" s="4">
        <v>1</v>
      </c>
      <c r="Y778" s="4">
        <v>417443.29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232</v>
      </c>
      <c r="F779" s="4">
        <f>ROUND(Source!BC763,O779)</f>
        <v>0</v>
      </c>
      <c r="G779" s="4" t="s">
        <v>71</v>
      </c>
      <c r="H779" s="4" t="s">
        <v>72</v>
      </c>
      <c r="I779" s="4"/>
      <c r="J779" s="4"/>
      <c r="K779" s="4">
        <v>232</v>
      </c>
      <c r="L779" s="4">
        <v>15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214</v>
      </c>
      <c r="F780" s="4">
        <f>ROUND(Source!AS763,O780)</f>
        <v>0</v>
      </c>
      <c r="G780" s="4" t="s">
        <v>73</v>
      </c>
      <c r="H780" s="4" t="s">
        <v>74</v>
      </c>
      <c r="I780" s="4"/>
      <c r="J780" s="4"/>
      <c r="K780" s="4">
        <v>214</v>
      </c>
      <c r="L780" s="4">
        <v>16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215</v>
      </c>
      <c r="F781" s="4">
        <f>ROUND(Source!AT763,O781)</f>
        <v>0</v>
      </c>
      <c r="G781" s="4" t="s">
        <v>75</v>
      </c>
      <c r="H781" s="4" t="s">
        <v>76</v>
      </c>
      <c r="I781" s="4"/>
      <c r="J781" s="4"/>
      <c r="K781" s="4">
        <v>215</v>
      </c>
      <c r="L781" s="4">
        <v>17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217</v>
      </c>
      <c r="F782" s="4">
        <f>ROUND(Source!AU763,O782)</f>
        <v>766025.38</v>
      </c>
      <c r="G782" s="4" t="s">
        <v>77</v>
      </c>
      <c r="H782" s="4" t="s">
        <v>78</v>
      </c>
      <c r="I782" s="4"/>
      <c r="J782" s="4"/>
      <c r="K782" s="4">
        <v>217</v>
      </c>
      <c r="L782" s="4">
        <v>18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766025.38</v>
      </c>
      <c r="X782" s="4">
        <v>1</v>
      </c>
      <c r="Y782" s="4">
        <v>766025.38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230</v>
      </c>
      <c r="F783" s="4">
        <f>ROUND(Source!BA763,O783)</f>
        <v>0</v>
      </c>
      <c r="G783" s="4" t="s">
        <v>79</v>
      </c>
      <c r="H783" s="4" t="s">
        <v>80</v>
      </c>
      <c r="I783" s="4"/>
      <c r="J783" s="4"/>
      <c r="K783" s="4">
        <v>230</v>
      </c>
      <c r="L783" s="4">
        <v>19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0</v>
      </c>
      <c r="X783" s="4">
        <v>1</v>
      </c>
      <c r="Y783" s="4">
        <v>0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206</v>
      </c>
      <c r="F784" s="4">
        <f>ROUND(Source!T763,O784)</f>
        <v>0</v>
      </c>
      <c r="G784" s="4" t="s">
        <v>81</v>
      </c>
      <c r="H784" s="4" t="s">
        <v>82</v>
      </c>
      <c r="I784" s="4"/>
      <c r="J784" s="4"/>
      <c r="K784" s="4">
        <v>206</v>
      </c>
      <c r="L784" s="4">
        <v>20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8" x14ac:dyDescent="0.2">
      <c r="A785" s="4">
        <v>50</v>
      </c>
      <c r="B785" s="4">
        <v>0</v>
      </c>
      <c r="C785" s="4">
        <v>0</v>
      </c>
      <c r="D785" s="4">
        <v>1</v>
      </c>
      <c r="E785" s="4">
        <v>207</v>
      </c>
      <c r="F785" s="4">
        <f>Source!U763</f>
        <v>699.73298</v>
      </c>
      <c r="G785" s="4" t="s">
        <v>83</v>
      </c>
      <c r="H785" s="4" t="s">
        <v>84</v>
      </c>
      <c r="I785" s="4"/>
      <c r="J785" s="4"/>
      <c r="K785" s="4">
        <v>207</v>
      </c>
      <c r="L785" s="4">
        <v>21</v>
      </c>
      <c r="M785" s="4">
        <v>3</v>
      </c>
      <c r="N785" s="4" t="s">
        <v>3</v>
      </c>
      <c r="O785" s="4">
        <v>-1</v>
      </c>
      <c r="P785" s="4"/>
      <c r="Q785" s="4"/>
      <c r="R785" s="4"/>
      <c r="S785" s="4"/>
      <c r="T785" s="4"/>
      <c r="U785" s="4"/>
      <c r="V785" s="4"/>
      <c r="W785" s="4">
        <v>699.73297999999988</v>
      </c>
      <c r="X785" s="4">
        <v>1</v>
      </c>
      <c r="Y785" s="4">
        <v>699.73297999999988</v>
      </c>
      <c r="Z785" s="4"/>
      <c r="AA785" s="4"/>
      <c r="AB785" s="4"/>
    </row>
    <row r="786" spans="1:28" x14ac:dyDescent="0.2">
      <c r="A786" s="4">
        <v>50</v>
      </c>
      <c r="B786" s="4">
        <v>0</v>
      </c>
      <c r="C786" s="4">
        <v>0</v>
      </c>
      <c r="D786" s="4">
        <v>1</v>
      </c>
      <c r="E786" s="4">
        <v>208</v>
      </c>
      <c r="F786" s="4">
        <f>Source!V763</f>
        <v>0</v>
      </c>
      <c r="G786" s="4" t="s">
        <v>85</v>
      </c>
      <c r="H786" s="4" t="s">
        <v>86</v>
      </c>
      <c r="I786" s="4"/>
      <c r="J786" s="4"/>
      <c r="K786" s="4">
        <v>208</v>
      </c>
      <c r="L786" s="4">
        <v>22</v>
      </c>
      <c r="M786" s="4">
        <v>3</v>
      </c>
      <c r="N786" s="4" t="s">
        <v>3</v>
      </c>
      <c r="O786" s="4">
        <v>-1</v>
      </c>
      <c r="P786" s="4"/>
      <c r="Q786" s="4"/>
      <c r="R786" s="4"/>
      <c r="S786" s="4"/>
      <c r="T786" s="4"/>
      <c r="U786" s="4"/>
      <c r="V786" s="4"/>
      <c r="W786" s="4">
        <v>0</v>
      </c>
      <c r="X786" s="4">
        <v>1</v>
      </c>
      <c r="Y786" s="4">
        <v>0</v>
      </c>
      <c r="Z786" s="4"/>
      <c r="AA786" s="4"/>
      <c r="AB786" s="4"/>
    </row>
    <row r="787" spans="1:28" x14ac:dyDescent="0.2">
      <c r="A787" s="4">
        <v>50</v>
      </c>
      <c r="B787" s="4">
        <v>0</v>
      </c>
      <c r="C787" s="4">
        <v>0</v>
      </c>
      <c r="D787" s="4">
        <v>1</v>
      </c>
      <c r="E787" s="4">
        <v>209</v>
      </c>
      <c r="F787" s="4">
        <f>ROUND(Source!W763,O787)</f>
        <v>0</v>
      </c>
      <c r="G787" s="4" t="s">
        <v>87</v>
      </c>
      <c r="H787" s="4" t="s">
        <v>88</v>
      </c>
      <c r="I787" s="4"/>
      <c r="J787" s="4"/>
      <c r="K787" s="4">
        <v>209</v>
      </c>
      <c r="L787" s="4">
        <v>23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0</v>
      </c>
      <c r="X787" s="4">
        <v>1</v>
      </c>
      <c r="Y787" s="4">
        <v>0</v>
      </c>
      <c r="Z787" s="4"/>
      <c r="AA787" s="4"/>
      <c r="AB787" s="4"/>
    </row>
    <row r="788" spans="1:28" x14ac:dyDescent="0.2">
      <c r="A788" s="4">
        <v>50</v>
      </c>
      <c r="B788" s="4">
        <v>0</v>
      </c>
      <c r="C788" s="4">
        <v>0</v>
      </c>
      <c r="D788" s="4">
        <v>1</v>
      </c>
      <c r="E788" s="4">
        <v>233</v>
      </c>
      <c r="F788" s="4">
        <f>ROUND(Source!BD763,O788)</f>
        <v>0</v>
      </c>
      <c r="G788" s="4" t="s">
        <v>89</v>
      </c>
      <c r="H788" s="4" t="s">
        <v>90</v>
      </c>
      <c r="I788" s="4"/>
      <c r="J788" s="4"/>
      <c r="K788" s="4">
        <v>233</v>
      </c>
      <c r="L788" s="4">
        <v>24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0</v>
      </c>
      <c r="X788" s="4">
        <v>1</v>
      </c>
      <c r="Y788" s="4">
        <v>0</v>
      </c>
      <c r="Z788" s="4"/>
      <c r="AA788" s="4"/>
      <c r="AB788" s="4"/>
    </row>
    <row r="789" spans="1:28" x14ac:dyDescent="0.2">
      <c r="A789" s="4">
        <v>50</v>
      </c>
      <c r="B789" s="4">
        <v>0</v>
      </c>
      <c r="C789" s="4">
        <v>0</v>
      </c>
      <c r="D789" s="4">
        <v>1</v>
      </c>
      <c r="E789" s="4">
        <v>210</v>
      </c>
      <c r="F789" s="4">
        <f>ROUND(Source!X763,O789)</f>
        <v>292210.33</v>
      </c>
      <c r="G789" s="4" t="s">
        <v>91</v>
      </c>
      <c r="H789" s="4" t="s">
        <v>92</v>
      </c>
      <c r="I789" s="4"/>
      <c r="J789" s="4"/>
      <c r="K789" s="4">
        <v>210</v>
      </c>
      <c r="L789" s="4">
        <v>25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292210.33</v>
      </c>
      <c r="X789" s="4">
        <v>1</v>
      </c>
      <c r="Y789" s="4">
        <v>292210.33</v>
      </c>
      <c r="Z789" s="4"/>
      <c r="AA789" s="4"/>
      <c r="AB789" s="4"/>
    </row>
    <row r="790" spans="1:28" x14ac:dyDescent="0.2">
      <c r="A790" s="4">
        <v>50</v>
      </c>
      <c r="B790" s="4">
        <v>0</v>
      </c>
      <c r="C790" s="4">
        <v>0</v>
      </c>
      <c r="D790" s="4">
        <v>1</v>
      </c>
      <c r="E790" s="4">
        <v>211</v>
      </c>
      <c r="F790" s="4">
        <f>ROUND(Source!Y763,O790)</f>
        <v>41744.35</v>
      </c>
      <c r="G790" s="4" t="s">
        <v>93</v>
      </c>
      <c r="H790" s="4" t="s">
        <v>94</v>
      </c>
      <c r="I790" s="4"/>
      <c r="J790" s="4"/>
      <c r="K790" s="4">
        <v>211</v>
      </c>
      <c r="L790" s="4">
        <v>26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41744.35</v>
      </c>
      <c r="X790" s="4">
        <v>1</v>
      </c>
      <c r="Y790" s="4">
        <v>41744.35</v>
      </c>
      <c r="Z790" s="4"/>
      <c r="AA790" s="4"/>
      <c r="AB790" s="4"/>
    </row>
    <row r="791" spans="1:28" x14ac:dyDescent="0.2">
      <c r="A791" s="4">
        <v>50</v>
      </c>
      <c r="B791" s="4">
        <v>0</v>
      </c>
      <c r="C791" s="4">
        <v>0</v>
      </c>
      <c r="D791" s="4">
        <v>1</v>
      </c>
      <c r="E791" s="4">
        <v>224</v>
      </c>
      <c r="F791" s="4">
        <f>ROUND(Source!AR763,O791)</f>
        <v>766025.38</v>
      </c>
      <c r="G791" s="4" t="s">
        <v>95</v>
      </c>
      <c r="H791" s="4" t="s">
        <v>96</v>
      </c>
      <c r="I791" s="4"/>
      <c r="J791" s="4"/>
      <c r="K791" s="4">
        <v>224</v>
      </c>
      <c r="L791" s="4">
        <v>27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766025.38</v>
      </c>
      <c r="X791" s="4">
        <v>1</v>
      </c>
      <c r="Y791" s="4">
        <v>766025.38</v>
      </c>
      <c r="Z791" s="4"/>
      <c r="AA791" s="4"/>
      <c r="AB791" s="4"/>
    </row>
    <row r="792" spans="1:28" x14ac:dyDescent="0.2">
      <c r="A792" s="4">
        <v>50</v>
      </c>
      <c r="B792" s="4">
        <v>1</v>
      </c>
      <c r="C792" s="4">
        <v>0</v>
      </c>
      <c r="D792" s="4">
        <v>2</v>
      </c>
      <c r="E792" s="4">
        <v>0</v>
      </c>
      <c r="F792" s="4">
        <f>ROUND(F791,O792)</f>
        <v>766025.38</v>
      </c>
      <c r="G792" s="4" t="s">
        <v>381</v>
      </c>
      <c r="H792" s="4" t="s">
        <v>382</v>
      </c>
      <c r="I792" s="4"/>
      <c r="J792" s="4"/>
      <c r="K792" s="4">
        <v>212</v>
      </c>
      <c r="L792" s="4">
        <v>28</v>
      </c>
      <c r="M792" s="4">
        <v>0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766025.38</v>
      </c>
      <c r="X792" s="4">
        <v>1</v>
      </c>
      <c r="Y792" s="4">
        <v>766025.38</v>
      </c>
      <c r="Z792" s="4"/>
      <c r="AA792" s="4"/>
      <c r="AB792" s="4"/>
    </row>
    <row r="793" spans="1:28" x14ac:dyDescent="0.2">
      <c r="A793" s="4">
        <v>50</v>
      </c>
      <c r="B793" s="4">
        <v>1</v>
      </c>
      <c r="C793" s="4">
        <v>0</v>
      </c>
      <c r="D793" s="4">
        <v>2</v>
      </c>
      <c r="E793" s="4">
        <v>0</v>
      </c>
      <c r="F793" s="4">
        <f>ROUND(F792*0.22,O793)</f>
        <v>168525.58</v>
      </c>
      <c r="G793" s="4" t="s">
        <v>383</v>
      </c>
      <c r="H793" s="4" t="s">
        <v>590</v>
      </c>
      <c r="I793" s="4"/>
      <c r="J793" s="4"/>
      <c r="K793" s="4">
        <v>212</v>
      </c>
      <c r="L793" s="4">
        <v>29</v>
      </c>
      <c r="M793" s="4">
        <v>0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153205.07999999999</v>
      </c>
      <c r="X793" s="4">
        <v>1</v>
      </c>
      <c r="Y793" s="4">
        <v>153205.07999999999</v>
      </c>
      <c r="Z793" s="4"/>
      <c r="AA793" s="4"/>
      <c r="AB793" s="4"/>
    </row>
    <row r="794" spans="1:28" x14ac:dyDescent="0.2">
      <c r="A794" s="4">
        <v>50</v>
      </c>
      <c r="B794" s="4">
        <v>1</v>
      </c>
      <c r="C794" s="4">
        <v>0</v>
      </c>
      <c r="D794" s="4">
        <v>2</v>
      </c>
      <c r="E794" s="4">
        <v>0</v>
      </c>
      <c r="F794" s="4">
        <f>ROUND(F792+F793,O794)</f>
        <v>934550.96</v>
      </c>
      <c r="G794" s="4" t="s">
        <v>385</v>
      </c>
      <c r="H794" s="4" t="s">
        <v>386</v>
      </c>
      <c r="I794" s="4"/>
      <c r="J794" s="4"/>
      <c r="K794" s="4">
        <v>212</v>
      </c>
      <c r="L794" s="4">
        <v>30</v>
      </c>
      <c r="M794" s="4">
        <v>0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919230.46</v>
      </c>
      <c r="X794" s="4">
        <v>1</v>
      </c>
      <c r="Y794" s="4">
        <v>919230.46</v>
      </c>
      <c r="Z794" s="4"/>
      <c r="AA794" s="4"/>
      <c r="AB794" s="4"/>
    </row>
    <row r="796" spans="1:28" x14ac:dyDescent="0.2">
      <c r="A796" s="5">
        <v>61</v>
      </c>
      <c r="B796" s="5"/>
      <c r="C796" s="5"/>
      <c r="D796" s="5"/>
      <c r="E796" s="5"/>
      <c r="F796" s="5">
        <v>0</v>
      </c>
      <c r="G796" s="5" t="s">
        <v>3</v>
      </c>
      <c r="H796" s="5" t="s">
        <v>3</v>
      </c>
    </row>
    <row r="797" spans="1:28" x14ac:dyDescent="0.2">
      <c r="A797" s="5">
        <v>61</v>
      </c>
      <c r="B797" s="5"/>
      <c r="C797" s="5"/>
      <c r="D797" s="5"/>
      <c r="E797" s="5"/>
      <c r="F797" s="5">
        <v>0</v>
      </c>
      <c r="G797" s="5" t="s">
        <v>387</v>
      </c>
      <c r="H797" s="5" t="s">
        <v>388</v>
      </c>
    </row>
    <row r="800" spans="1:28" x14ac:dyDescent="0.2">
      <c r="A800">
        <v>-1</v>
      </c>
    </row>
    <row r="802" spans="1:15" x14ac:dyDescent="0.2">
      <c r="A802" s="3">
        <v>75</v>
      </c>
      <c r="B802" s="3" t="s">
        <v>389</v>
      </c>
      <c r="C802" s="3">
        <v>2025</v>
      </c>
      <c r="D802" s="3">
        <v>0</v>
      </c>
      <c r="E802" s="3">
        <v>10</v>
      </c>
      <c r="F802" s="3">
        <v>0</v>
      </c>
      <c r="G802" s="3">
        <v>0</v>
      </c>
      <c r="H802" s="3">
        <v>1</v>
      </c>
      <c r="I802" s="3">
        <v>0</v>
      </c>
      <c r="J802" s="3">
        <v>1</v>
      </c>
      <c r="K802" s="3">
        <v>78</v>
      </c>
      <c r="L802" s="3">
        <v>30</v>
      </c>
      <c r="M802" s="3">
        <v>0</v>
      </c>
      <c r="N802" s="3">
        <v>1473080740</v>
      </c>
      <c r="O802" s="3">
        <v>1</v>
      </c>
    </row>
    <row r="806" spans="1:15" x14ac:dyDescent="0.2">
      <c r="A806">
        <v>65</v>
      </c>
      <c r="C806">
        <v>1</v>
      </c>
      <c r="D806">
        <v>0</v>
      </c>
      <c r="E80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390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1473080740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ROUND((Source!F750)/1000,2)</f>
        <v>0</v>
      </c>
      <c r="F16" s="7">
        <f>ROUND((Source!F751)/1000,2)</f>
        <v>0</v>
      </c>
      <c r="G16" s="7">
        <f>ROUND((Source!F742)/1000,2)</f>
        <v>0</v>
      </c>
      <c r="H16" s="7">
        <f>ROUND((Source!F752)/1000+(Source!F753)/1000,2)</f>
        <v>766.03</v>
      </c>
      <c r="I16" s="7">
        <f>E16+F16+G16+H16</f>
        <v>766.03</v>
      </c>
      <c r="J16" s="7">
        <f>ROUND((Source!F748+Source!F747)/1000,2)</f>
        <v>421.17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428044.55</v>
      </c>
      <c r="AU16" s="7">
        <v>4703.1400000000003</v>
      </c>
      <c r="AV16" s="7">
        <v>0</v>
      </c>
      <c r="AW16" s="7">
        <v>0</v>
      </c>
      <c r="AX16" s="7">
        <v>0</v>
      </c>
      <c r="AY16" s="7">
        <v>5898.12</v>
      </c>
      <c r="AZ16" s="7">
        <v>3727.91</v>
      </c>
      <c r="BA16" s="7">
        <v>417443.29</v>
      </c>
      <c r="BB16" s="7">
        <v>0</v>
      </c>
      <c r="BC16" s="7">
        <v>0</v>
      </c>
      <c r="BD16" s="7">
        <v>766025.38</v>
      </c>
      <c r="BE16" s="7">
        <v>0</v>
      </c>
      <c r="BF16" s="7">
        <v>699.73297999999988</v>
      </c>
      <c r="BG16" s="7">
        <v>0</v>
      </c>
      <c r="BH16" s="7">
        <v>0</v>
      </c>
      <c r="BI16" s="7">
        <v>292210.33</v>
      </c>
      <c r="BJ16" s="7">
        <v>41744.35</v>
      </c>
      <c r="BK16" s="7">
        <v>766025.38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766.03</v>
      </c>
      <c r="I18" s="5">
        <f>SUMIF(A16:A17,3,I16:I17)</f>
        <v>766.03</v>
      </c>
      <c r="J18" s="5">
        <f>SUMIF(A16:A17,3,J16:J17)</f>
        <v>421.17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428044.55</v>
      </c>
      <c r="G20" s="4" t="s">
        <v>43</v>
      </c>
      <c r="H20" s="4" t="s">
        <v>44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4703.1400000000003</v>
      </c>
      <c r="G21" s="4" t="s">
        <v>45</v>
      </c>
      <c r="H21" s="4" t="s">
        <v>46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47</v>
      </c>
      <c r="H22" s="4" t="s">
        <v>48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4703.1400000000003</v>
      </c>
      <c r="G23" s="4" t="s">
        <v>49</v>
      </c>
      <c r="H23" s="4" t="s">
        <v>50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4703.1400000000003</v>
      </c>
      <c r="G24" s="4" t="s">
        <v>51</v>
      </c>
      <c r="H24" s="4" t="s">
        <v>52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53</v>
      </c>
      <c r="H25" s="4" t="s">
        <v>54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4703.1400000000003</v>
      </c>
      <c r="G26" s="4" t="s">
        <v>55</v>
      </c>
      <c r="H26" s="4" t="s">
        <v>56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57</v>
      </c>
      <c r="H27" s="4" t="s">
        <v>58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59</v>
      </c>
      <c r="H28" s="4" t="s">
        <v>60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61</v>
      </c>
      <c r="H29" s="4" t="s">
        <v>62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5898.12</v>
      </c>
      <c r="G30" s="4" t="s">
        <v>63</v>
      </c>
      <c r="H30" s="4" t="s">
        <v>64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65</v>
      </c>
      <c r="H31" s="4" t="s">
        <v>66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3727.91</v>
      </c>
      <c r="G32" s="4" t="s">
        <v>67</v>
      </c>
      <c r="H32" s="4" t="s">
        <v>68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417443.29</v>
      </c>
      <c r="G33" s="4" t="s">
        <v>69</v>
      </c>
      <c r="H33" s="4" t="s">
        <v>70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71</v>
      </c>
      <c r="H34" s="4" t="s">
        <v>72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73</v>
      </c>
      <c r="H35" s="4" t="s">
        <v>74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75</v>
      </c>
      <c r="H36" s="4" t="s">
        <v>76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766025.38</v>
      </c>
      <c r="G37" s="4" t="s">
        <v>77</v>
      </c>
      <c r="H37" s="4" t="s">
        <v>78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79</v>
      </c>
      <c r="H38" s="4" t="s">
        <v>80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81</v>
      </c>
      <c r="H39" s="4" t="s">
        <v>82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699.73297999999988</v>
      </c>
      <c r="G40" s="4" t="s">
        <v>83</v>
      </c>
      <c r="H40" s="4" t="s">
        <v>84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85</v>
      </c>
      <c r="H41" s="4" t="s">
        <v>86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87</v>
      </c>
      <c r="H42" s="4" t="s">
        <v>88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89</v>
      </c>
      <c r="H43" s="4" t="s">
        <v>90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292210.33</v>
      </c>
      <c r="G44" s="4" t="s">
        <v>91</v>
      </c>
      <c r="H44" s="4" t="s">
        <v>92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41744.35</v>
      </c>
      <c r="G45" s="4" t="s">
        <v>93</v>
      </c>
      <c r="H45" s="4" t="s">
        <v>94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766025.38</v>
      </c>
      <c r="G46" s="4" t="s">
        <v>95</v>
      </c>
      <c r="H46" s="4" t="s">
        <v>96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766025.38</v>
      </c>
      <c r="G47" s="4" t="s">
        <v>381</v>
      </c>
      <c r="H47" s="4" t="s">
        <v>382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153205.07999999999</v>
      </c>
      <c r="G48" s="4" t="s">
        <v>383</v>
      </c>
      <c r="H48" s="4" t="s">
        <v>384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919230.46</v>
      </c>
      <c r="G49" s="4" t="s">
        <v>385</v>
      </c>
      <c r="H49" s="4" t="s">
        <v>386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389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1473080740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14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ROW(Source!A34)</f>
        <v>34</v>
      </c>
      <c r="B1">
        <v>1473080740</v>
      </c>
      <c r="C1">
        <v>1473081799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391</v>
      </c>
      <c r="J1" t="s">
        <v>3</v>
      </c>
      <c r="K1" t="s">
        <v>392</v>
      </c>
      <c r="L1">
        <v>1191</v>
      </c>
      <c r="N1">
        <v>1013</v>
      </c>
      <c r="O1" t="s">
        <v>393</v>
      </c>
      <c r="P1" t="s">
        <v>393</v>
      </c>
      <c r="Q1">
        <v>1</v>
      </c>
      <c r="W1">
        <v>0</v>
      </c>
      <c r="X1">
        <v>476480486</v>
      </c>
      <c r="Y1">
        <f t="shared" ref="Y1:Y7" si="0">AT1</f>
        <v>0.92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0.92</v>
      </c>
      <c r="AU1" t="s">
        <v>3</v>
      </c>
      <c r="AV1">
        <v>1</v>
      </c>
      <c r="AW1">
        <v>2</v>
      </c>
      <c r="AX1">
        <v>1473081801</v>
      </c>
      <c r="AY1">
        <v>1</v>
      </c>
      <c r="AZ1">
        <v>6144</v>
      </c>
      <c r="BA1">
        <v>3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ROUND(AT1*Source!I34*AH1*AL1,2)</f>
        <v>0</v>
      </c>
      <c r="CV1">
        <f>ROUND(Y1*Source!I34,9)</f>
        <v>0.184</v>
      </c>
      <c r="CW1">
        <v>0</v>
      </c>
      <c r="CX1">
        <f>ROUND(Y1*Source!I34,9)</f>
        <v>0.184</v>
      </c>
      <c r="CY1">
        <f>AD1</f>
        <v>0</v>
      </c>
      <c r="CZ1">
        <f>AH1</f>
        <v>0</v>
      </c>
      <c r="DA1">
        <f>AL1</f>
        <v>1</v>
      </c>
      <c r="DB1">
        <f t="shared" ref="DB1:DB7" si="1">ROUND(ROUND(AT1*CZ1,2),6)</f>
        <v>0</v>
      </c>
      <c r="DC1">
        <f t="shared" ref="DC1:DC7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ROW(Source!A35)</f>
        <v>35</v>
      </c>
      <c r="B2">
        <v>1473080740</v>
      </c>
      <c r="C2">
        <v>1473081802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391</v>
      </c>
      <c r="J2" t="s">
        <v>3</v>
      </c>
      <c r="K2" t="s">
        <v>392</v>
      </c>
      <c r="L2">
        <v>1191</v>
      </c>
      <c r="N2">
        <v>1013</v>
      </c>
      <c r="O2" t="s">
        <v>393</v>
      </c>
      <c r="P2" t="s">
        <v>393</v>
      </c>
      <c r="Q2">
        <v>1</v>
      </c>
      <c r="W2">
        <v>0</v>
      </c>
      <c r="X2">
        <v>476480486</v>
      </c>
      <c r="Y2">
        <f t="shared" si="0"/>
        <v>0.92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0.92</v>
      </c>
      <c r="AU2" t="s">
        <v>3</v>
      </c>
      <c r="AV2">
        <v>1</v>
      </c>
      <c r="AW2">
        <v>2</v>
      </c>
      <c r="AX2">
        <v>1473081804</v>
      </c>
      <c r="AY2">
        <v>1</v>
      </c>
      <c r="AZ2">
        <v>6144</v>
      </c>
      <c r="BA2">
        <v>4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ROUND(AT2*Source!I35*AH2*AL2,2)</f>
        <v>0</v>
      </c>
      <c r="CV2">
        <f>ROUND(Y2*Source!I35,9)</f>
        <v>3.5880000000000001</v>
      </c>
      <c r="CW2">
        <v>0</v>
      </c>
      <c r="CX2">
        <f>ROUND(Y2*Source!I35,9)</f>
        <v>3.5880000000000001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 t="shared" si="4"/>
        <v>0</v>
      </c>
      <c r="DH2">
        <f t="shared" si="5"/>
        <v>0</v>
      </c>
      <c r="DI2">
        <f t="shared" si="6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ROW(Source!A36)</f>
        <v>36</v>
      </c>
      <c r="B3">
        <v>1473080740</v>
      </c>
      <c r="C3">
        <v>1473081805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391</v>
      </c>
      <c r="J3" t="s">
        <v>3</v>
      </c>
      <c r="K3" t="s">
        <v>392</v>
      </c>
      <c r="L3">
        <v>1191</v>
      </c>
      <c r="N3">
        <v>1013</v>
      </c>
      <c r="O3" t="s">
        <v>393</v>
      </c>
      <c r="P3" t="s">
        <v>393</v>
      </c>
      <c r="Q3">
        <v>1</v>
      </c>
      <c r="W3">
        <v>0</v>
      </c>
      <c r="X3">
        <v>476480486</v>
      </c>
      <c r="Y3">
        <f t="shared" si="0"/>
        <v>1.75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1.75</v>
      </c>
      <c r="AU3" t="s">
        <v>3</v>
      </c>
      <c r="AV3">
        <v>1</v>
      </c>
      <c r="AW3">
        <v>2</v>
      </c>
      <c r="AX3">
        <v>1473081809</v>
      </c>
      <c r="AY3">
        <v>1</v>
      </c>
      <c r="AZ3">
        <v>0</v>
      </c>
      <c r="BA3">
        <v>5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ROUND(AT3*Source!I36*AH3*AL3,2)</f>
        <v>0</v>
      </c>
      <c r="CV3">
        <f>ROUND(Y3*Source!I36,9)</f>
        <v>3.5</v>
      </c>
      <c r="CW3">
        <v>0</v>
      </c>
      <c r="CX3">
        <f>ROUND(Y3*Source!I36,9)</f>
        <v>3.5</v>
      </c>
      <c r="CY3">
        <f>AD3</f>
        <v>0</v>
      </c>
      <c r="CZ3">
        <f>AH3</f>
        <v>0</v>
      </c>
      <c r="DA3">
        <f>AL3</f>
        <v>1</v>
      </c>
      <c r="DB3">
        <f t="shared" si="1"/>
        <v>0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ROW(Source!A36)</f>
        <v>36</v>
      </c>
      <c r="B4">
        <v>1473080740</v>
      </c>
      <c r="C4">
        <v>1473081805</v>
      </c>
      <c r="D4">
        <v>1441834258</v>
      </c>
      <c r="E4">
        <v>1</v>
      </c>
      <c r="F4">
        <v>1</v>
      </c>
      <c r="G4">
        <v>15514512</v>
      </c>
      <c r="H4">
        <v>2</v>
      </c>
      <c r="I4" t="s">
        <v>394</v>
      </c>
      <c r="J4" t="s">
        <v>395</v>
      </c>
      <c r="K4" t="s">
        <v>396</v>
      </c>
      <c r="L4">
        <v>1368</v>
      </c>
      <c r="N4">
        <v>1011</v>
      </c>
      <c r="O4" t="s">
        <v>397</v>
      </c>
      <c r="P4" t="s">
        <v>397</v>
      </c>
      <c r="Q4">
        <v>1</v>
      </c>
      <c r="W4">
        <v>0</v>
      </c>
      <c r="X4">
        <v>1077756263</v>
      </c>
      <c r="Y4">
        <f t="shared" si="0"/>
        <v>1.083</v>
      </c>
      <c r="AA4">
        <v>0</v>
      </c>
      <c r="AB4">
        <v>1303.01</v>
      </c>
      <c r="AC4">
        <v>826.2</v>
      </c>
      <c r="AD4">
        <v>0</v>
      </c>
      <c r="AE4">
        <v>0</v>
      </c>
      <c r="AF4">
        <v>1303.01</v>
      </c>
      <c r="AG4">
        <v>826.2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1.083</v>
      </c>
      <c r="AU4" t="s">
        <v>3</v>
      </c>
      <c r="AV4">
        <v>0</v>
      </c>
      <c r="AW4">
        <v>2</v>
      </c>
      <c r="AX4">
        <v>1473081810</v>
      </c>
      <c r="AY4">
        <v>1</v>
      </c>
      <c r="AZ4">
        <v>0</v>
      </c>
      <c r="BA4">
        <v>6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ROUND(Y4*Source!I36*DO4,9)</f>
        <v>0</v>
      </c>
      <c r="CX4">
        <f>ROUND(Y4*Source!I36,9)</f>
        <v>2.1659999999999999</v>
      </c>
      <c r="CY4">
        <f>AB4</f>
        <v>1303.01</v>
      </c>
      <c r="CZ4">
        <f>AF4</f>
        <v>1303.01</v>
      </c>
      <c r="DA4">
        <f>AJ4</f>
        <v>1</v>
      </c>
      <c r="DB4">
        <f t="shared" si="1"/>
        <v>1411.16</v>
      </c>
      <c r="DC4">
        <f t="shared" si="2"/>
        <v>894.77</v>
      </c>
      <c r="DD4" t="s">
        <v>3</v>
      </c>
      <c r="DE4" t="s">
        <v>3</v>
      </c>
      <c r="DF4">
        <f t="shared" si="3"/>
        <v>0</v>
      </c>
      <c r="DG4">
        <f t="shared" si="4"/>
        <v>2822.32</v>
      </c>
      <c r="DH4">
        <f t="shared" si="5"/>
        <v>1789.55</v>
      </c>
      <c r="DI4">
        <f t="shared" si="6"/>
        <v>0</v>
      </c>
      <c r="DJ4">
        <f>DG4</f>
        <v>2822.32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ROW(Source!A36)</f>
        <v>36</v>
      </c>
      <c r="B5">
        <v>1473080740</v>
      </c>
      <c r="C5">
        <v>1473081805</v>
      </c>
      <c r="D5">
        <v>1441836235</v>
      </c>
      <c r="E5">
        <v>1</v>
      </c>
      <c r="F5">
        <v>1</v>
      </c>
      <c r="G5">
        <v>15514512</v>
      </c>
      <c r="H5">
        <v>3</v>
      </c>
      <c r="I5" t="s">
        <v>398</v>
      </c>
      <c r="J5" t="s">
        <v>399</v>
      </c>
      <c r="K5" t="s">
        <v>400</v>
      </c>
      <c r="L5">
        <v>1346</v>
      </c>
      <c r="N5">
        <v>1009</v>
      </c>
      <c r="O5" t="s">
        <v>401</v>
      </c>
      <c r="P5" t="s">
        <v>401</v>
      </c>
      <c r="Q5">
        <v>1</v>
      </c>
      <c r="W5">
        <v>0</v>
      </c>
      <c r="X5">
        <v>-1595335418</v>
      </c>
      <c r="Y5">
        <f t="shared" si="0"/>
        <v>0.02</v>
      </c>
      <c r="AA5">
        <v>31.49</v>
      </c>
      <c r="AB5">
        <v>0</v>
      </c>
      <c r="AC5">
        <v>0</v>
      </c>
      <c r="AD5">
        <v>0</v>
      </c>
      <c r="AE5">
        <v>31.49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0.02</v>
      </c>
      <c r="AU5" t="s">
        <v>3</v>
      </c>
      <c r="AV5">
        <v>0</v>
      </c>
      <c r="AW5">
        <v>2</v>
      </c>
      <c r="AX5">
        <v>1473081811</v>
      </c>
      <c r="AY5">
        <v>1</v>
      </c>
      <c r="AZ5">
        <v>0</v>
      </c>
      <c r="BA5">
        <v>7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ROUND(Y5*Source!I36,9)</f>
        <v>0.04</v>
      </c>
      <c r="CY5">
        <f>AA5</f>
        <v>31.49</v>
      </c>
      <c r="CZ5">
        <f>AE5</f>
        <v>31.49</v>
      </c>
      <c r="DA5">
        <f>AI5</f>
        <v>1</v>
      </c>
      <c r="DB5">
        <f t="shared" si="1"/>
        <v>0.63</v>
      </c>
      <c r="DC5">
        <f t="shared" si="2"/>
        <v>0</v>
      </c>
      <c r="DD5" t="s">
        <v>3</v>
      </c>
      <c r="DE5" t="s">
        <v>3</v>
      </c>
      <c r="DF5">
        <f t="shared" si="3"/>
        <v>1.26</v>
      </c>
      <c r="DG5">
        <f t="shared" si="4"/>
        <v>0</v>
      </c>
      <c r="DH5">
        <f t="shared" si="5"/>
        <v>0</v>
      </c>
      <c r="DI5">
        <f t="shared" si="6"/>
        <v>0</v>
      </c>
      <c r="DJ5">
        <f>DF5</f>
        <v>1.26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ROW(Source!A122)</f>
        <v>122</v>
      </c>
      <c r="B6">
        <v>1473080740</v>
      </c>
      <c r="C6">
        <v>1473081912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391</v>
      </c>
      <c r="J6" t="s">
        <v>3</v>
      </c>
      <c r="K6" t="s">
        <v>392</v>
      </c>
      <c r="L6">
        <v>1191</v>
      </c>
      <c r="N6">
        <v>1013</v>
      </c>
      <c r="O6" t="s">
        <v>393</v>
      </c>
      <c r="P6" t="s">
        <v>393</v>
      </c>
      <c r="Q6">
        <v>1</v>
      </c>
      <c r="W6">
        <v>0</v>
      </c>
      <c r="X6">
        <v>476480486</v>
      </c>
      <c r="Y6">
        <f t="shared" si="0"/>
        <v>28.02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28.02</v>
      </c>
      <c r="AU6" t="s">
        <v>3</v>
      </c>
      <c r="AV6">
        <v>1</v>
      </c>
      <c r="AW6">
        <v>2</v>
      </c>
      <c r="AX6">
        <v>1473081915</v>
      </c>
      <c r="AY6">
        <v>1</v>
      </c>
      <c r="AZ6">
        <v>0</v>
      </c>
      <c r="BA6">
        <v>36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ROUND(AT6*Source!I122*AH6*AL6,2)</f>
        <v>0</v>
      </c>
      <c r="CV6">
        <f>ROUND(Y6*Source!I122,9)</f>
        <v>3.3624000000000001</v>
      </c>
      <c r="CW6">
        <v>0</v>
      </c>
      <c r="CX6">
        <f>ROUND(Y6*Source!I122,9)</f>
        <v>3.3624000000000001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 t="shared" si="4"/>
        <v>0</v>
      </c>
      <c r="DH6">
        <f t="shared" si="5"/>
        <v>0</v>
      </c>
      <c r="DI6">
        <f t="shared" si="6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ROW(Source!A122)</f>
        <v>122</v>
      </c>
      <c r="B7">
        <v>1473080740</v>
      </c>
      <c r="C7">
        <v>1473081912</v>
      </c>
      <c r="D7">
        <v>1441834443</v>
      </c>
      <c r="E7">
        <v>1</v>
      </c>
      <c r="F7">
        <v>1</v>
      </c>
      <c r="G7">
        <v>15514512</v>
      </c>
      <c r="H7">
        <v>3</v>
      </c>
      <c r="I7" t="s">
        <v>402</v>
      </c>
      <c r="J7" t="s">
        <v>403</v>
      </c>
      <c r="K7" t="s">
        <v>404</v>
      </c>
      <c r="L7">
        <v>1296</v>
      </c>
      <c r="N7">
        <v>1002</v>
      </c>
      <c r="O7" t="s">
        <v>405</v>
      </c>
      <c r="P7" t="s">
        <v>405</v>
      </c>
      <c r="Q7">
        <v>1</v>
      </c>
      <c r="W7">
        <v>0</v>
      </c>
      <c r="X7">
        <v>-1058478299</v>
      </c>
      <c r="Y7">
        <f t="shared" si="0"/>
        <v>0.31</v>
      </c>
      <c r="AA7">
        <v>785.72</v>
      </c>
      <c r="AB7">
        <v>0</v>
      </c>
      <c r="AC7">
        <v>0</v>
      </c>
      <c r="AD7">
        <v>0</v>
      </c>
      <c r="AE7">
        <v>785.72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0.31</v>
      </c>
      <c r="AU7" t="s">
        <v>3</v>
      </c>
      <c r="AV7">
        <v>0</v>
      </c>
      <c r="AW7">
        <v>2</v>
      </c>
      <c r="AX7">
        <v>1473081916</v>
      </c>
      <c r="AY7">
        <v>1</v>
      </c>
      <c r="AZ7">
        <v>0</v>
      </c>
      <c r="BA7">
        <v>37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ROUND(Y7*Source!I122,9)</f>
        <v>3.7199999999999997E-2</v>
      </c>
      <c r="CY7">
        <f>AA7</f>
        <v>785.72</v>
      </c>
      <c r="CZ7">
        <f>AE7</f>
        <v>785.72</v>
      </c>
      <c r="DA7">
        <f>AI7</f>
        <v>1</v>
      </c>
      <c r="DB7">
        <f t="shared" si="1"/>
        <v>243.57</v>
      </c>
      <c r="DC7">
        <f t="shared" si="2"/>
        <v>0</v>
      </c>
      <c r="DD7" t="s">
        <v>3</v>
      </c>
      <c r="DE7" t="s">
        <v>3</v>
      </c>
      <c r="DF7">
        <f t="shared" si="3"/>
        <v>29.23</v>
      </c>
      <c r="DG7">
        <f t="shared" si="4"/>
        <v>0</v>
      </c>
      <c r="DH7">
        <f t="shared" si="5"/>
        <v>0</v>
      </c>
      <c r="DI7">
        <f t="shared" si="6"/>
        <v>0</v>
      </c>
      <c r="DJ7">
        <f>DF7</f>
        <v>29.23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ROW(Source!A160)</f>
        <v>160</v>
      </c>
      <c r="B8">
        <v>1473080740</v>
      </c>
      <c r="C8">
        <v>1473081924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391</v>
      </c>
      <c r="J8" t="s">
        <v>3</v>
      </c>
      <c r="K8" t="s">
        <v>392</v>
      </c>
      <c r="L8">
        <v>1191</v>
      </c>
      <c r="N8">
        <v>1013</v>
      </c>
      <c r="O8" t="s">
        <v>393</v>
      </c>
      <c r="P8" t="s">
        <v>393</v>
      </c>
      <c r="Q8">
        <v>1</v>
      </c>
      <c r="W8">
        <v>0</v>
      </c>
      <c r="X8">
        <v>476480486</v>
      </c>
      <c r="Y8">
        <f>(AT8*4)</f>
        <v>2.92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0.73</v>
      </c>
      <c r="AU8" t="s">
        <v>104</v>
      </c>
      <c r="AV8">
        <v>1</v>
      </c>
      <c r="AW8">
        <v>2</v>
      </c>
      <c r="AX8">
        <v>1473081926</v>
      </c>
      <c r="AY8">
        <v>1</v>
      </c>
      <c r="AZ8">
        <v>0</v>
      </c>
      <c r="BA8">
        <v>43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ROUND(AT8*Source!I160*AH8*AL8,2)</f>
        <v>0</v>
      </c>
      <c r="CV8">
        <f>ROUND(Y8*Source!I160,9)</f>
        <v>5.84</v>
      </c>
      <c r="CW8">
        <v>0</v>
      </c>
      <c r="CX8">
        <f>ROUND(Y8*Source!I160,9)</f>
        <v>5.84</v>
      </c>
      <c r="CY8">
        <f>AD8</f>
        <v>0</v>
      </c>
      <c r="CZ8">
        <f>AH8</f>
        <v>0</v>
      </c>
      <c r="DA8">
        <f>AL8</f>
        <v>1</v>
      </c>
      <c r="DB8">
        <f>ROUND((ROUND(AT8*CZ8,2)*4),6)</f>
        <v>0</v>
      </c>
      <c r="DC8">
        <f>ROUND((ROUND(AT8*AG8,2)*4),6)</f>
        <v>0</v>
      </c>
      <c r="DD8" t="s">
        <v>3</v>
      </c>
      <c r="DE8" t="s">
        <v>3</v>
      </c>
      <c r="DF8">
        <f t="shared" si="3"/>
        <v>0</v>
      </c>
      <c r="DG8">
        <f t="shared" si="4"/>
        <v>0</v>
      </c>
      <c r="DH8">
        <f t="shared" si="5"/>
        <v>0</v>
      </c>
      <c r="DI8">
        <f t="shared" si="6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ROW(Source!A197)</f>
        <v>197</v>
      </c>
      <c r="B9">
        <v>1473080740</v>
      </c>
      <c r="C9">
        <v>1473081929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391</v>
      </c>
      <c r="J9" t="s">
        <v>3</v>
      </c>
      <c r="K9" t="s">
        <v>392</v>
      </c>
      <c r="L9">
        <v>1191</v>
      </c>
      <c r="N9">
        <v>1013</v>
      </c>
      <c r="O9" t="s">
        <v>393</v>
      </c>
      <c r="P9" t="s">
        <v>393</v>
      </c>
      <c r="Q9">
        <v>1</v>
      </c>
      <c r="W9">
        <v>0</v>
      </c>
      <c r="X9">
        <v>476480486</v>
      </c>
      <c r="Y9">
        <f>(AT9*4)</f>
        <v>2.92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0.73</v>
      </c>
      <c r="AU9" t="s">
        <v>104</v>
      </c>
      <c r="AV9">
        <v>1</v>
      </c>
      <c r="AW9">
        <v>2</v>
      </c>
      <c r="AX9">
        <v>1473081931</v>
      </c>
      <c r="AY9">
        <v>1</v>
      </c>
      <c r="AZ9">
        <v>0</v>
      </c>
      <c r="BA9">
        <v>45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ROUND(AT9*Source!I197*AH9*AL9,2)</f>
        <v>0</v>
      </c>
      <c r="CV9">
        <f>ROUND(Y9*Source!I197,9)</f>
        <v>3.504</v>
      </c>
      <c r="CW9">
        <v>0</v>
      </c>
      <c r="CX9">
        <f>ROUND(Y9*Source!I197,9)</f>
        <v>3.504</v>
      </c>
      <c r="CY9">
        <f>AD9</f>
        <v>0</v>
      </c>
      <c r="CZ9">
        <f>AH9</f>
        <v>0</v>
      </c>
      <c r="DA9">
        <f>AL9</f>
        <v>1</v>
      </c>
      <c r="DB9">
        <f>ROUND((ROUND(AT9*CZ9,2)*4),6)</f>
        <v>0</v>
      </c>
      <c r="DC9">
        <f>ROUND((ROUND(AT9*AG9,2)*4),6)</f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ROW(Source!A233)</f>
        <v>233</v>
      </c>
      <c r="B10">
        <v>1473080740</v>
      </c>
      <c r="C10">
        <v>1473081932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391</v>
      </c>
      <c r="J10" t="s">
        <v>3</v>
      </c>
      <c r="K10" t="s">
        <v>392</v>
      </c>
      <c r="L10">
        <v>1191</v>
      </c>
      <c r="N10">
        <v>1013</v>
      </c>
      <c r="O10" t="s">
        <v>393</v>
      </c>
      <c r="P10" t="s">
        <v>393</v>
      </c>
      <c r="Q10">
        <v>1</v>
      </c>
      <c r="W10">
        <v>0</v>
      </c>
      <c r="X10">
        <v>476480486</v>
      </c>
      <c r="Y10">
        <f>(AT10*4)</f>
        <v>3.12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0.78</v>
      </c>
      <c r="AU10" t="s">
        <v>28</v>
      </c>
      <c r="AV10">
        <v>1</v>
      </c>
      <c r="AW10">
        <v>2</v>
      </c>
      <c r="AX10">
        <v>1473081934</v>
      </c>
      <c r="AY10">
        <v>1</v>
      </c>
      <c r="AZ10">
        <v>0</v>
      </c>
      <c r="BA10">
        <v>46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ROUND(AT10*Source!I233*AH10*AL10,2)</f>
        <v>0</v>
      </c>
      <c r="CV10">
        <f>ROUND(Y10*Source!I233,9)</f>
        <v>0.97125600000000001</v>
      </c>
      <c r="CW10">
        <v>0</v>
      </c>
      <c r="CX10">
        <f>ROUND(Y10*Source!I233,9)</f>
        <v>0.97125600000000001</v>
      </c>
      <c r="CY10">
        <f>AD10</f>
        <v>0</v>
      </c>
      <c r="CZ10">
        <f>AH10</f>
        <v>0</v>
      </c>
      <c r="DA10">
        <f>AL10</f>
        <v>1</v>
      </c>
      <c r="DB10">
        <f>ROUND((ROUND(AT10*CZ10,2)*4),6)</f>
        <v>0</v>
      </c>
      <c r="DC10">
        <f>ROUND((ROUND(AT10*AG10,2)*4),6)</f>
        <v>0</v>
      </c>
      <c r="DD10" t="s">
        <v>3</v>
      </c>
      <c r="DE10" t="s">
        <v>3</v>
      </c>
      <c r="DF10">
        <f t="shared" si="3"/>
        <v>0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ROW(Source!A270)</f>
        <v>270</v>
      </c>
      <c r="B11">
        <v>1473080740</v>
      </c>
      <c r="C11">
        <v>1473081940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391</v>
      </c>
      <c r="J11" t="s">
        <v>3</v>
      </c>
      <c r="K11" t="s">
        <v>392</v>
      </c>
      <c r="L11">
        <v>1191</v>
      </c>
      <c r="N11">
        <v>1013</v>
      </c>
      <c r="O11" t="s">
        <v>393</v>
      </c>
      <c r="P11" t="s">
        <v>393</v>
      </c>
      <c r="Q11">
        <v>1</v>
      </c>
      <c r="W11">
        <v>0</v>
      </c>
      <c r="X11">
        <v>476480486</v>
      </c>
      <c r="Y11">
        <f>(AT11*11)</f>
        <v>8.58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0.78</v>
      </c>
      <c r="AU11" t="s">
        <v>152</v>
      </c>
      <c r="AV11">
        <v>1</v>
      </c>
      <c r="AW11">
        <v>2</v>
      </c>
      <c r="AX11">
        <v>1473081942</v>
      </c>
      <c r="AY11">
        <v>1</v>
      </c>
      <c r="AZ11">
        <v>0</v>
      </c>
      <c r="BA11">
        <v>51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ROUND(AT11*Source!I270*AH11*AL11,2)</f>
        <v>0</v>
      </c>
      <c r="CV11">
        <f>ROUND(Y11*Source!I270,9)</f>
        <v>91.548599999999993</v>
      </c>
      <c r="CW11">
        <v>0</v>
      </c>
      <c r="CX11">
        <f>ROUND(Y11*Source!I270,9)</f>
        <v>91.548599999999993</v>
      </c>
      <c r="CY11">
        <f>AD11</f>
        <v>0</v>
      </c>
      <c r="CZ11">
        <f>AH11</f>
        <v>0</v>
      </c>
      <c r="DA11">
        <f>AL11</f>
        <v>1</v>
      </c>
      <c r="DB11">
        <f>ROUND((ROUND(AT11*CZ11,2)*11),6)</f>
        <v>0</v>
      </c>
      <c r="DC11">
        <f>ROUND((ROUND(AT11*AG11,2)*11),6)</f>
        <v>0</v>
      </c>
      <c r="DD11" t="s">
        <v>3</v>
      </c>
      <c r="DE11" t="s">
        <v>3</v>
      </c>
      <c r="DF11">
        <f t="shared" si="3"/>
        <v>0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ROW(Source!A341)</f>
        <v>341</v>
      </c>
      <c r="B12">
        <v>1473080740</v>
      </c>
      <c r="C12">
        <v>1473081945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391</v>
      </c>
      <c r="J12" t="s">
        <v>3</v>
      </c>
      <c r="K12" t="s">
        <v>392</v>
      </c>
      <c r="L12">
        <v>1191</v>
      </c>
      <c r="N12">
        <v>1013</v>
      </c>
      <c r="O12" t="s">
        <v>393</v>
      </c>
      <c r="P12" t="s">
        <v>393</v>
      </c>
      <c r="Q12">
        <v>1</v>
      </c>
      <c r="W12">
        <v>0</v>
      </c>
      <c r="X12">
        <v>476480486</v>
      </c>
      <c r="Y12">
        <f>AT12</f>
        <v>0.14000000000000001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0.14000000000000001</v>
      </c>
      <c r="AU12" t="s">
        <v>3</v>
      </c>
      <c r="AV12">
        <v>1</v>
      </c>
      <c r="AW12">
        <v>2</v>
      </c>
      <c r="AX12">
        <v>1473081949</v>
      </c>
      <c r="AY12">
        <v>1</v>
      </c>
      <c r="AZ12">
        <v>0</v>
      </c>
      <c r="BA12">
        <v>53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ROUND(AT12*Source!I341*AH12*AL12,2)</f>
        <v>0</v>
      </c>
      <c r="CV12">
        <f>ROUND(Y12*Source!I341,9)</f>
        <v>3.64</v>
      </c>
      <c r="CW12">
        <v>0</v>
      </c>
      <c r="CX12">
        <f>ROUND(Y12*Source!I341,9)</f>
        <v>3.64</v>
      </c>
      <c r="CY12">
        <f>AD12</f>
        <v>0</v>
      </c>
      <c r="CZ12">
        <f>AH12</f>
        <v>0</v>
      </c>
      <c r="DA12">
        <f>AL12</f>
        <v>1</v>
      </c>
      <c r="DB12">
        <f>ROUND(ROUND(AT12*CZ12,2),6)</f>
        <v>0</v>
      </c>
      <c r="DC12">
        <f>ROUND(ROUND(AT12*AG12,2),6)</f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ROW(Source!A341)</f>
        <v>341</v>
      </c>
      <c r="B13">
        <v>1473080740</v>
      </c>
      <c r="C13">
        <v>1473081945</v>
      </c>
      <c r="D13">
        <v>1441834213</v>
      </c>
      <c r="E13">
        <v>1</v>
      </c>
      <c r="F13">
        <v>1</v>
      </c>
      <c r="G13">
        <v>15514512</v>
      </c>
      <c r="H13">
        <v>2</v>
      </c>
      <c r="I13" t="s">
        <v>406</v>
      </c>
      <c r="J13" t="s">
        <v>407</v>
      </c>
      <c r="K13" t="s">
        <v>408</v>
      </c>
      <c r="L13">
        <v>1368</v>
      </c>
      <c r="N13">
        <v>1011</v>
      </c>
      <c r="O13" t="s">
        <v>397</v>
      </c>
      <c r="P13" t="s">
        <v>397</v>
      </c>
      <c r="Q13">
        <v>1</v>
      </c>
      <c r="W13">
        <v>0</v>
      </c>
      <c r="X13">
        <v>801316079</v>
      </c>
      <c r="Y13">
        <f>AT13</f>
        <v>0.03</v>
      </c>
      <c r="AA13">
        <v>0</v>
      </c>
      <c r="AB13">
        <v>7.68</v>
      </c>
      <c r="AC13">
        <v>0.05</v>
      </c>
      <c r="AD13">
        <v>0</v>
      </c>
      <c r="AE13">
        <v>0</v>
      </c>
      <c r="AF13">
        <v>7.68</v>
      </c>
      <c r="AG13">
        <v>0.05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0.03</v>
      </c>
      <c r="AU13" t="s">
        <v>3</v>
      </c>
      <c r="AV13">
        <v>0</v>
      </c>
      <c r="AW13">
        <v>2</v>
      </c>
      <c r="AX13">
        <v>1473081950</v>
      </c>
      <c r="AY13">
        <v>1</v>
      </c>
      <c r="AZ13">
        <v>0</v>
      </c>
      <c r="BA13">
        <v>54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ROUND(Y13*Source!I341*DO13,9)</f>
        <v>0</v>
      </c>
      <c r="CX13">
        <f>ROUND(Y13*Source!I341,9)</f>
        <v>0.78</v>
      </c>
      <c r="CY13">
        <f>AB13</f>
        <v>7.68</v>
      </c>
      <c r="CZ13">
        <f>AF13</f>
        <v>7.68</v>
      </c>
      <c r="DA13">
        <f>AJ13</f>
        <v>1</v>
      </c>
      <c r="DB13">
        <f>ROUND(ROUND(AT13*CZ13,2),6)</f>
        <v>0.23</v>
      </c>
      <c r="DC13">
        <f>ROUND(ROUND(AT13*AG13,2),6)</f>
        <v>0</v>
      </c>
      <c r="DD13" t="s">
        <v>3</v>
      </c>
      <c r="DE13" t="s">
        <v>3</v>
      </c>
      <c r="DF13">
        <f t="shared" si="3"/>
        <v>0</v>
      </c>
      <c r="DG13">
        <f t="shared" si="4"/>
        <v>5.99</v>
      </c>
      <c r="DH13">
        <f t="shared" si="5"/>
        <v>0.04</v>
      </c>
      <c r="DI13">
        <f t="shared" si="6"/>
        <v>0</v>
      </c>
      <c r="DJ13">
        <f>DG13</f>
        <v>5.99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ROW(Source!A341)</f>
        <v>341</v>
      </c>
      <c r="B14">
        <v>1473080740</v>
      </c>
      <c r="C14">
        <v>1473081945</v>
      </c>
      <c r="D14">
        <v>1441836235</v>
      </c>
      <c r="E14">
        <v>1</v>
      </c>
      <c r="F14">
        <v>1</v>
      </c>
      <c r="G14">
        <v>15514512</v>
      </c>
      <c r="H14">
        <v>3</v>
      </c>
      <c r="I14" t="s">
        <v>398</v>
      </c>
      <c r="J14" t="s">
        <v>399</v>
      </c>
      <c r="K14" t="s">
        <v>400</v>
      </c>
      <c r="L14">
        <v>1346</v>
      </c>
      <c r="N14">
        <v>1009</v>
      </c>
      <c r="O14" t="s">
        <v>401</v>
      </c>
      <c r="P14" t="s">
        <v>401</v>
      </c>
      <c r="Q14">
        <v>1</v>
      </c>
      <c r="W14">
        <v>0</v>
      </c>
      <c r="X14">
        <v>-1595335418</v>
      </c>
      <c r="Y14">
        <f>AT14</f>
        <v>7.0000000000000007E-2</v>
      </c>
      <c r="AA14">
        <v>31.49</v>
      </c>
      <c r="AB14">
        <v>0</v>
      </c>
      <c r="AC14">
        <v>0</v>
      </c>
      <c r="AD14">
        <v>0</v>
      </c>
      <c r="AE14">
        <v>31.49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7.0000000000000007E-2</v>
      </c>
      <c r="AU14" t="s">
        <v>3</v>
      </c>
      <c r="AV14">
        <v>0</v>
      </c>
      <c r="AW14">
        <v>2</v>
      </c>
      <c r="AX14">
        <v>1473081951</v>
      </c>
      <c r="AY14">
        <v>1</v>
      </c>
      <c r="AZ14">
        <v>0</v>
      </c>
      <c r="BA14">
        <v>55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ROUND(Y14*Source!I341,9)</f>
        <v>1.82</v>
      </c>
      <c r="CY14">
        <f>AA14</f>
        <v>31.49</v>
      </c>
      <c r="CZ14">
        <f>AE14</f>
        <v>31.49</v>
      </c>
      <c r="DA14">
        <f>AI14</f>
        <v>1</v>
      </c>
      <c r="DB14">
        <f>ROUND(ROUND(AT14*CZ14,2),6)</f>
        <v>2.2000000000000002</v>
      </c>
      <c r="DC14">
        <f>ROUND(ROUND(AT14*AG14,2),6)</f>
        <v>0</v>
      </c>
      <c r="DD14" t="s">
        <v>3</v>
      </c>
      <c r="DE14" t="s">
        <v>3</v>
      </c>
      <c r="DF14">
        <f t="shared" si="3"/>
        <v>57.31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DF14</f>
        <v>57.31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ROW(Source!A342)</f>
        <v>342</v>
      </c>
      <c r="B15">
        <v>1473080740</v>
      </c>
      <c r="C15">
        <v>1473081952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391</v>
      </c>
      <c r="J15" t="s">
        <v>3</v>
      </c>
      <c r="K15" t="s">
        <v>392</v>
      </c>
      <c r="L15">
        <v>1191</v>
      </c>
      <c r="N15">
        <v>1013</v>
      </c>
      <c r="O15" t="s">
        <v>393</v>
      </c>
      <c r="P15" t="s">
        <v>393</v>
      </c>
      <c r="Q15">
        <v>1</v>
      </c>
      <c r="W15">
        <v>0</v>
      </c>
      <c r="X15">
        <v>476480486</v>
      </c>
      <c r="Y15">
        <f>(AT15*3)</f>
        <v>1.23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0.41</v>
      </c>
      <c r="AU15" t="s">
        <v>163</v>
      </c>
      <c r="AV15">
        <v>1</v>
      </c>
      <c r="AW15">
        <v>2</v>
      </c>
      <c r="AX15">
        <v>1473081954</v>
      </c>
      <c r="AY15">
        <v>1</v>
      </c>
      <c r="AZ15">
        <v>0</v>
      </c>
      <c r="BA15">
        <v>56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ROUND(AT15*Source!I342*AH15*AL15,2)</f>
        <v>0</v>
      </c>
      <c r="CV15">
        <f>ROUND(Y15*Source!I342,9)</f>
        <v>3.198</v>
      </c>
      <c r="CW15">
        <v>0</v>
      </c>
      <c r="CX15">
        <f>ROUND(Y15*Source!I342,9)</f>
        <v>3.198</v>
      </c>
      <c r="CY15">
        <f>AD15</f>
        <v>0</v>
      </c>
      <c r="CZ15">
        <f>AH15</f>
        <v>0</v>
      </c>
      <c r="DA15">
        <f>AL15</f>
        <v>1</v>
      </c>
      <c r="DB15">
        <f>ROUND((ROUND(AT15*CZ15,2)*3),6)</f>
        <v>0</v>
      </c>
      <c r="DC15">
        <f>ROUND((ROUND(AT15*AG15,2)*3),6)</f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ROW(Source!A414)</f>
        <v>414</v>
      </c>
      <c r="B16">
        <v>1473080740</v>
      </c>
      <c r="C16">
        <v>1473082001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391</v>
      </c>
      <c r="J16" t="s">
        <v>3</v>
      </c>
      <c r="K16" t="s">
        <v>392</v>
      </c>
      <c r="L16">
        <v>1191</v>
      </c>
      <c r="N16">
        <v>1013</v>
      </c>
      <c r="O16" t="s">
        <v>393</v>
      </c>
      <c r="P16" t="s">
        <v>393</v>
      </c>
      <c r="Q16">
        <v>1</v>
      </c>
      <c r="W16">
        <v>0</v>
      </c>
      <c r="X16">
        <v>476480486</v>
      </c>
      <c r="Y16">
        <f t="shared" ref="Y16:Y38" si="7">AT16</f>
        <v>12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12</v>
      </c>
      <c r="AU16" t="s">
        <v>3</v>
      </c>
      <c r="AV16">
        <v>1</v>
      </c>
      <c r="AW16">
        <v>2</v>
      </c>
      <c r="AX16">
        <v>1473082008</v>
      </c>
      <c r="AY16">
        <v>1</v>
      </c>
      <c r="AZ16">
        <v>0</v>
      </c>
      <c r="BA16">
        <v>68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ROUND(AT16*Source!I414*AH16*AL16,2)</f>
        <v>0</v>
      </c>
      <c r="CV16">
        <f>ROUND(Y16*Source!I414,9)</f>
        <v>60</v>
      </c>
      <c r="CW16">
        <v>0</v>
      </c>
      <c r="CX16">
        <f>ROUND(Y16*Source!I414,9)</f>
        <v>60</v>
      </c>
      <c r="CY16">
        <f>AD16</f>
        <v>0</v>
      </c>
      <c r="CZ16">
        <f>AH16</f>
        <v>0</v>
      </c>
      <c r="DA16">
        <f>AL16</f>
        <v>1</v>
      </c>
      <c r="DB16">
        <f t="shared" ref="DB16:DB38" si="8">ROUND(ROUND(AT16*CZ16,2),6)</f>
        <v>0</v>
      </c>
      <c r="DC16">
        <f t="shared" ref="DC16:DC38" si="9">ROUND(ROUND(AT16*AG16,2),6)</f>
        <v>0</v>
      </c>
      <c r="DD16" t="s">
        <v>3</v>
      </c>
      <c r="DE16" t="s">
        <v>3</v>
      </c>
      <c r="DF16">
        <f t="shared" si="3"/>
        <v>0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DI16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ROW(Source!A414)</f>
        <v>414</v>
      </c>
      <c r="B17">
        <v>1473080740</v>
      </c>
      <c r="C17">
        <v>1473082001</v>
      </c>
      <c r="D17">
        <v>1441835475</v>
      </c>
      <c r="E17">
        <v>1</v>
      </c>
      <c r="F17">
        <v>1</v>
      </c>
      <c r="G17">
        <v>15514512</v>
      </c>
      <c r="H17">
        <v>3</v>
      </c>
      <c r="I17" t="s">
        <v>409</v>
      </c>
      <c r="J17" t="s">
        <v>410</v>
      </c>
      <c r="K17" t="s">
        <v>411</v>
      </c>
      <c r="L17">
        <v>1348</v>
      </c>
      <c r="N17">
        <v>1009</v>
      </c>
      <c r="O17" t="s">
        <v>412</v>
      </c>
      <c r="P17" t="s">
        <v>412</v>
      </c>
      <c r="Q17">
        <v>1000</v>
      </c>
      <c r="W17">
        <v>0</v>
      </c>
      <c r="X17">
        <v>438248051</v>
      </c>
      <c r="Y17">
        <f t="shared" si="7"/>
        <v>2.0000000000000001E-4</v>
      </c>
      <c r="AA17">
        <v>155908.07999999999</v>
      </c>
      <c r="AB17">
        <v>0</v>
      </c>
      <c r="AC17">
        <v>0</v>
      </c>
      <c r="AD17">
        <v>0</v>
      </c>
      <c r="AE17">
        <v>155908.07999999999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2.0000000000000001E-4</v>
      </c>
      <c r="AU17" t="s">
        <v>3</v>
      </c>
      <c r="AV17">
        <v>0</v>
      </c>
      <c r="AW17">
        <v>2</v>
      </c>
      <c r="AX17">
        <v>1473082009</v>
      </c>
      <c r="AY17">
        <v>1</v>
      </c>
      <c r="AZ17">
        <v>0</v>
      </c>
      <c r="BA17">
        <v>69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ROUND(Y17*Source!I414,9)</f>
        <v>1E-3</v>
      </c>
      <c r="CY17">
        <f>AA17</f>
        <v>155908.07999999999</v>
      </c>
      <c r="CZ17">
        <f>AE17</f>
        <v>155908.07999999999</v>
      </c>
      <c r="DA17">
        <f>AI17</f>
        <v>1</v>
      </c>
      <c r="DB17">
        <f t="shared" si="8"/>
        <v>31.18</v>
      </c>
      <c r="DC17">
        <f t="shared" si="9"/>
        <v>0</v>
      </c>
      <c r="DD17" t="s">
        <v>3</v>
      </c>
      <c r="DE17" t="s">
        <v>3</v>
      </c>
      <c r="DF17">
        <f t="shared" si="3"/>
        <v>155.91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155.91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ROW(Source!A414)</f>
        <v>414</v>
      </c>
      <c r="B18">
        <v>1473080740</v>
      </c>
      <c r="C18">
        <v>1473082001</v>
      </c>
      <c r="D18">
        <v>1441834671</v>
      </c>
      <c r="E18">
        <v>1</v>
      </c>
      <c r="F18">
        <v>1</v>
      </c>
      <c r="G18">
        <v>15514512</v>
      </c>
      <c r="H18">
        <v>3</v>
      </c>
      <c r="I18" t="s">
        <v>413</v>
      </c>
      <c r="J18" t="s">
        <v>414</v>
      </c>
      <c r="K18" t="s">
        <v>415</v>
      </c>
      <c r="L18">
        <v>1348</v>
      </c>
      <c r="N18">
        <v>1009</v>
      </c>
      <c r="O18" t="s">
        <v>412</v>
      </c>
      <c r="P18" t="s">
        <v>412</v>
      </c>
      <c r="Q18">
        <v>1000</v>
      </c>
      <c r="W18">
        <v>0</v>
      </c>
      <c r="X18">
        <v>-19071303</v>
      </c>
      <c r="Y18">
        <f t="shared" si="7"/>
        <v>1E-4</v>
      </c>
      <c r="AA18">
        <v>184462.17</v>
      </c>
      <c r="AB18">
        <v>0</v>
      </c>
      <c r="AC18">
        <v>0</v>
      </c>
      <c r="AD18">
        <v>0</v>
      </c>
      <c r="AE18">
        <v>184462.17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1E-4</v>
      </c>
      <c r="AU18" t="s">
        <v>3</v>
      </c>
      <c r="AV18">
        <v>0</v>
      </c>
      <c r="AW18">
        <v>2</v>
      </c>
      <c r="AX18">
        <v>1473082010</v>
      </c>
      <c r="AY18">
        <v>1</v>
      </c>
      <c r="AZ18">
        <v>0</v>
      </c>
      <c r="BA18">
        <v>70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ROUND(Y18*Source!I414,9)</f>
        <v>5.0000000000000001E-4</v>
      </c>
      <c r="CY18">
        <f>AA18</f>
        <v>184462.17</v>
      </c>
      <c r="CZ18">
        <f>AE18</f>
        <v>184462.17</v>
      </c>
      <c r="DA18">
        <f>AI18</f>
        <v>1</v>
      </c>
      <c r="DB18">
        <f t="shared" si="8"/>
        <v>18.45</v>
      </c>
      <c r="DC18">
        <f t="shared" si="9"/>
        <v>0</v>
      </c>
      <c r="DD18" t="s">
        <v>3</v>
      </c>
      <c r="DE18" t="s">
        <v>3</v>
      </c>
      <c r="DF18">
        <f t="shared" si="3"/>
        <v>92.23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92.23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ROW(Source!A414)</f>
        <v>414</v>
      </c>
      <c r="B19">
        <v>1473080740</v>
      </c>
      <c r="C19">
        <v>1473082001</v>
      </c>
      <c r="D19">
        <v>1441834634</v>
      </c>
      <c r="E19">
        <v>1</v>
      </c>
      <c r="F19">
        <v>1</v>
      </c>
      <c r="G19">
        <v>15514512</v>
      </c>
      <c r="H19">
        <v>3</v>
      </c>
      <c r="I19" t="s">
        <v>416</v>
      </c>
      <c r="J19" t="s">
        <v>417</v>
      </c>
      <c r="K19" t="s">
        <v>418</v>
      </c>
      <c r="L19">
        <v>1348</v>
      </c>
      <c r="N19">
        <v>1009</v>
      </c>
      <c r="O19" t="s">
        <v>412</v>
      </c>
      <c r="P19" t="s">
        <v>412</v>
      </c>
      <c r="Q19">
        <v>1000</v>
      </c>
      <c r="W19">
        <v>0</v>
      </c>
      <c r="X19">
        <v>1869974630</v>
      </c>
      <c r="Y19">
        <f t="shared" si="7"/>
        <v>5.9999999999999995E-4</v>
      </c>
      <c r="AA19">
        <v>88053.759999999995</v>
      </c>
      <c r="AB19">
        <v>0</v>
      </c>
      <c r="AC19">
        <v>0</v>
      </c>
      <c r="AD19">
        <v>0</v>
      </c>
      <c r="AE19">
        <v>88053.759999999995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5.9999999999999995E-4</v>
      </c>
      <c r="AU19" t="s">
        <v>3</v>
      </c>
      <c r="AV19">
        <v>0</v>
      </c>
      <c r="AW19">
        <v>2</v>
      </c>
      <c r="AX19">
        <v>1473082011</v>
      </c>
      <c r="AY19">
        <v>1</v>
      </c>
      <c r="AZ19">
        <v>0</v>
      </c>
      <c r="BA19">
        <v>71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ROUND(Y19*Source!I414,9)</f>
        <v>3.0000000000000001E-3</v>
      </c>
      <c r="CY19">
        <f>AA19</f>
        <v>88053.759999999995</v>
      </c>
      <c r="CZ19">
        <f>AE19</f>
        <v>88053.759999999995</v>
      </c>
      <c r="DA19">
        <f>AI19</f>
        <v>1</v>
      </c>
      <c r="DB19">
        <f t="shared" si="8"/>
        <v>52.83</v>
      </c>
      <c r="DC19">
        <f t="shared" si="9"/>
        <v>0</v>
      </c>
      <c r="DD19" t="s">
        <v>3</v>
      </c>
      <c r="DE19" t="s">
        <v>3</v>
      </c>
      <c r="DF19">
        <f t="shared" si="3"/>
        <v>264.16000000000003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264.16000000000003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ROW(Source!A414)</f>
        <v>414</v>
      </c>
      <c r="B20">
        <v>1473080740</v>
      </c>
      <c r="C20">
        <v>1473082001</v>
      </c>
      <c r="D20">
        <v>1441834836</v>
      </c>
      <c r="E20">
        <v>1</v>
      </c>
      <c r="F20">
        <v>1</v>
      </c>
      <c r="G20">
        <v>15514512</v>
      </c>
      <c r="H20">
        <v>3</v>
      </c>
      <c r="I20" t="s">
        <v>419</v>
      </c>
      <c r="J20" t="s">
        <v>420</v>
      </c>
      <c r="K20" t="s">
        <v>421</v>
      </c>
      <c r="L20">
        <v>1348</v>
      </c>
      <c r="N20">
        <v>1009</v>
      </c>
      <c r="O20" t="s">
        <v>412</v>
      </c>
      <c r="P20" t="s">
        <v>412</v>
      </c>
      <c r="Q20">
        <v>1000</v>
      </c>
      <c r="W20">
        <v>0</v>
      </c>
      <c r="X20">
        <v>1434651514</v>
      </c>
      <c r="Y20">
        <f t="shared" si="7"/>
        <v>1.08E-3</v>
      </c>
      <c r="AA20">
        <v>93194.67</v>
      </c>
      <c r="AB20">
        <v>0</v>
      </c>
      <c r="AC20">
        <v>0</v>
      </c>
      <c r="AD20">
        <v>0</v>
      </c>
      <c r="AE20">
        <v>93194.67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1.08E-3</v>
      </c>
      <c r="AU20" t="s">
        <v>3</v>
      </c>
      <c r="AV20">
        <v>0</v>
      </c>
      <c r="AW20">
        <v>2</v>
      </c>
      <c r="AX20">
        <v>1473082012</v>
      </c>
      <c r="AY20">
        <v>1</v>
      </c>
      <c r="AZ20">
        <v>0</v>
      </c>
      <c r="BA20">
        <v>72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ROUND(Y20*Source!I414,9)</f>
        <v>5.4000000000000003E-3</v>
      </c>
      <c r="CY20">
        <f>AA20</f>
        <v>93194.67</v>
      </c>
      <c r="CZ20">
        <f>AE20</f>
        <v>93194.67</v>
      </c>
      <c r="DA20">
        <f>AI20</f>
        <v>1</v>
      </c>
      <c r="DB20">
        <f t="shared" si="8"/>
        <v>100.65</v>
      </c>
      <c r="DC20">
        <f t="shared" si="9"/>
        <v>0</v>
      </c>
      <c r="DD20" t="s">
        <v>3</v>
      </c>
      <c r="DE20" t="s">
        <v>3</v>
      </c>
      <c r="DF20">
        <f t="shared" si="3"/>
        <v>503.25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DF20</f>
        <v>503.25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ROW(Source!A414)</f>
        <v>414</v>
      </c>
      <c r="B21">
        <v>1473080740</v>
      </c>
      <c r="C21">
        <v>1473082001</v>
      </c>
      <c r="D21">
        <v>1441822273</v>
      </c>
      <c r="E21">
        <v>15514512</v>
      </c>
      <c r="F21">
        <v>1</v>
      </c>
      <c r="G21">
        <v>15514512</v>
      </c>
      <c r="H21">
        <v>3</v>
      </c>
      <c r="I21" t="s">
        <v>422</v>
      </c>
      <c r="J21" t="s">
        <v>3</v>
      </c>
      <c r="K21" t="s">
        <v>423</v>
      </c>
      <c r="L21">
        <v>1348</v>
      </c>
      <c r="N21">
        <v>1009</v>
      </c>
      <c r="O21" t="s">
        <v>412</v>
      </c>
      <c r="P21" t="s">
        <v>412</v>
      </c>
      <c r="Q21">
        <v>1000</v>
      </c>
      <c r="W21">
        <v>0</v>
      </c>
      <c r="X21">
        <v>-1698336702</v>
      </c>
      <c r="Y21">
        <f t="shared" si="7"/>
        <v>1.2E-4</v>
      </c>
      <c r="AA21">
        <v>94640</v>
      </c>
      <c r="AB21">
        <v>0</v>
      </c>
      <c r="AC21">
        <v>0</v>
      </c>
      <c r="AD21">
        <v>0</v>
      </c>
      <c r="AE21">
        <v>94640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1.2E-4</v>
      </c>
      <c r="AU21" t="s">
        <v>3</v>
      </c>
      <c r="AV21">
        <v>0</v>
      </c>
      <c r="AW21">
        <v>2</v>
      </c>
      <c r="AX21">
        <v>1473082013</v>
      </c>
      <c r="AY21">
        <v>1</v>
      </c>
      <c r="AZ21">
        <v>0</v>
      </c>
      <c r="BA21">
        <v>73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ROUND(Y21*Source!I414,9)</f>
        <v>5.9999999999999995E-4</v>
      </c>
      <c r="CY21">
        <f>AA21</f>
        <v>94640</v>
      </c>
      <c r="CZ21">
        <f>AE21</f>
        <v>94640</v>
      </c>
      <c r="DA21">
        <f>AI21</f>
        <v>1</v>
      </c>
      <c r="DB21">
        <f t="shared" si="8"/>
        <v>11.36</v>
      </c>
      <c r="DC21">
        <f t="shared" si="9"/>
        <v>0</v>
      </c>
      <c r="DD21" t="s">
        <v>3</v>
      </c>
      <c r="DE21" t="s">
        <v>3</v>
      </c>
      <c r="DF21">
        <f t="shared" si="3"/>
        <v>56.78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DF21</f>
        <v>56.78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ROW(Source!A417)</f>
        <v>417</v>
      </c>
      <c r="B22">
        <v>1473080740</v>
      </c>
      <c r="C22">
        <v>1473082014</v>
      </c>
      <c r="D22">
        <v>1441819193</v>
      </c>
      <c r="E22">
        <v>15514512</v>
      </c>
      <c r="F22">
        <v>1</v>
      </c>
      <c r="G22">
        <v>15514512</v>
      </c>
      <c r="H22">
        <v>1</v>
      </c>
      <c r="I22" t="s">
        <v>391</v>
      </c>
      <c r="J22" t="s">
        <v>3</v>
      </c>
      <c r="K22" t="s">
        <v>392</v>
      </c>
      <c r="L22">
        <v>1191</v>
      </c>
      <c r="N22">
        <v>1013</v>
      </c>
      <c r="O22" t="s">
        <v>393</v>
      </c>
      <c r="P22" t="s">
        <v>393</v>
      </c>
      <c r="Q22">
        <v>1</v>
      </c>
      <c r="W22">
        <v>0</v>
      </c>
      <c r="X22">
        <v>476480486</v>
      </c>
      <c r="Y22">
        <f t="shared" si="7"/>
        <v>36.1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36.1</v>
      </c>
      <c r="AU22" t="s">
        <v>3</v>
      </c>
      <c r="AV22">
        <v>1</v>
      </c>
      <c r="AW22">
        <v>2</v>
      </c>
      <c r="AX22">
        <v>1473082025</v>
      </c>
      <c r="AY22">
        <v>1</v>
      </c>
      <c r="AZ22">
        <v>0</v>
      </c>
      <c r="BA22">
        <v>78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U22">
        <f>ROUND(AT22*Source!I417*AH22*AL22,2)</f>
        <v>0</v>
      </c>
      <c r="CV22">
        <f>ROUND(Y22*Source!I417,9)</f>
        <v>72.2</v>
      </c>
      <c r="CW22">
        <v>0</v>
      </c>
      <c r="CX22">
        <f>ROUND(Y22*Source!I417,9)</f>
        <v>72.2</v>
      </c>
      <c r="CY22">
        <f>AD22</f>
        <v>0</v>
      </c>
      <c r="CZ22">
        <f>AH22</f>
        <v>0</v>
      </c>
      <c r="DA22">
        <f>AL22</f>
        <v>1</v>
      </c>
      <c r="DB22">
        <f t="shared" si="8"/>
        <v>0</v>
      </c>
      <c r="DC22">
        <f t="shared" si="9"/>
        <v>0</v>
      </c>
      <c r="DD22" t="s">
        <v>3</v>
      </c>
      <c r="DE22" t="s">
        <v>3</v>
      </c>
      <c r="DF22">
        <f t="shared" si="3"/>
        <v>0</v>
      </c>
      <c r="DG22">
        <f t="shared" si="4"/>
        <v>0</v>
      </c>
      <c r="DH22">
        <f t="shared" si="5"/>
        <v>0</v>
      </c>
      <c r="DI22">
        <f t="shared" si="6"/>
        <v>0</v>
      </c>
      <c r="DJ22">
        <f>DI22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ROW(Source!A417)</f>
        <v>417</v>
      </c>
      <c r="B23">
        <v>1473080740</v>
      </c>
      <c r="C23">
        <v>1473082014</v>
      </c>
      <c r="D23">
        <v>1441835475</v>
      </c>
      <c r="E23">
        <v>1</v>
      </c>
      <c r="F23">
        <v>1</v>
      </c>
      <c r="G23">
        <v>15514512</v>
      </c>
      <c r="H23">
        <v>3</v>
      </c>
      <c r="I23" t="s">
        <v>409</v>
      </c>
      <c r="J23" t="s">
        <v>410</v>
      </c>
      <c r="K23" t="s">
        <v>411</v>
      </c>
      <c r="L23">
        <v>1348</v>
      </c>
      <c r="N23">
        <v>1009</v>
      </c>
      <c r="O23" t="s">
        <v>412</v>
      </c>
      <c r="P23" t="s">
        <v>412</v>
      </c>
      <c r="Q23">
        <v>1000</v>
      </c>
      <c r="W23">
        <v>0</v>
      </c>
      <c r="X23">
        <v>438248051</v>
      </c>
      <c r="Y23">
        <f t="shared" si="7"/>
        <v>2.9999999999999997E-4</v>
      </c>
      <c r="AA23">
        <v>155908.07999999999</v>
      </c>
      <c r="AB23">
        <v>0</v>
      </c>
      <c r="AC23">
        <v>0</v>
      </c>
      <c r="AD23">
        <v>0</v>
      </c>
      <c r="AE23">
        <v>155908.07999999999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2.9999999999999997E-4</v>
      </c>
      <c r="AU23" t="s">
        <v>3</v>
      </c>
      <c r="AV23">
        <v>0</v>
      </c>
      <c r="AW23">
        <v>2</v>
      </c>
      <c r="AX23">
        <v>1473082026</v>
      </c>
      <c r="AY23">
        <v>1</v>
      </c>
      <c r="AZ23">
        <v>0</v>
      </c>
      <c r="BA23">
        <v>79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ROUND(Y23*Source!I417,9)</f>
        <v>5.9999999999999995E-4</v>
      </c>
      <c r="CY23">
        <f t="shared" ref="CY23:CY31" si="10">AA23</f>
        <v>155908.07999999999</v>
      </c>
      <c r="CZ23">
        <f t="shared" ref="CZ23:CZ31" si="11">AE23</f>
        <v>155908.07999999999</v>
      </c>
      <c r="DA23">
        <f t="shared" ref="DA23:DA31" si="12">AI23</f>
        <v>1</v>
      </c>
      <c r="DB23">
        <f t="shared" si="8"/>
        <v>46.77</v>
      </c>
      <c r="DC23">
        <f t="shared" si="9"/>
        <v>0</v>
      </c>
      <c r="DD23" t="s">
        <v>3</v>
      </c>
      <c r="DE23" t="s">
        <v>3</v>
      </c>
      <c r="DF23">
        <f t="shared" si="3"/>
        <v>93.54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ref="DJ23:DJ31" si="13">DF23</f>
        <v>93.54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ROW(Source!A417)</f>
        <v>417</v>
      </c>
      <c r="B24">
        <v>1473080740</v>
      </c>
      <c r="C24">
        <v>1473082014</v>
      </c>
      <c r="D24">
        <v>1441835549</v>
      </c>
      <c r="E24">
        <v>1</v>
      </c>
      <c r="F24">
        <v>1</v>
      </c>
      <c r="G24">
        <v>15514512</v>
      </c>
      <c r="H24">
        <v>3</v>
      </c>
      <c r="I24" t="s">
        <v>424</v>
      </c>
      <c r="J24" t="s">
        <v>425</v>
      </c>
      <c r="K24" t="s">
        <v>426</v>
      </c>
      <c r="L24">
        <v>1348</v>
      </c>
      <c r="N24">
        <v>1009</v>
      </c>
      <c r="O24" t="s">
        <v>412</v>
      </c>
      <c r="P24" t="s">
        <v>412</v>
      </c>
      <c r="Q24">
        <v>1000</v>
      </c>
      <c r="W24">
        <v>0</v>
      </c>
      <c r="X24">
        <v>-2009451208</v>
      </c>
      <c r="Y24">
        <f t="shared" si="7"/>
        <v>1E-4</v>
      </c>
      <c r="AA24">
        <v>194655.19</v>
      </c>
      <c r="AB24">
        <v>0</v>
      </c>
      <c r="AC24">
        <v>0</v>
      </c>
      <c r="AD24">
        <v>0</v>
      </c>
      <c r="AE24">
        <v>194655.19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1E-4</v>
      </c>
      <c r="AU24" t="s">
        <v>3</v>
      </c>
      <c r="AV24">
        <v>0</v>
      </c>
      <c r="AW24">
        <v>2</v>
      </c>
      <c r="AX24">
        <v>1473082027</v>
      </c>
      <c r="AY24">
        <v>1</v>
      </c>
      <c r="AZ24">
        <v>0</v>
      </c>
      <c r="BA24">
        <v>80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ROUND(Y24*Source!I417,9)</f>
        <v>2.0000000000000001E-4</v>
      </c>
      <c r="CY24">
        <f t="shared" si="10"/>
        <v>194655.19</v>
      </c>
      <c r="CZ24">
        <f t="shared" si="11"/>
        <v>194655.19</v>
      </c>
      <c r="DA24">
        <f t="shared" si="12"/>
        <v>1</v>
      </c>
      <c r="DB24">
        <f t="shared" si="8"/>
        <v>19.47</v>
      </c>
      <c r="DC24">
        <f t="shared" si="9"/>
        <v>0</v>
      </c>
      <c r="DD24" t="s">
        <v>3</v>
      </c>
      <c r="DE24" t="s">
        <v>3</v>
      </c>
      <c r="DF24">
        <f t="shared" si="3"/>
        <v>38.93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3"/>
        <v>38.93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ROW(Source!A417)</f>
        <v>417</v>
      </c>
      <c r="B25">
        <v>1473080740</v>
      </c>
      <c r="C25">
        <v>1473082014</v>
      </c>
      <c r="D25">
        <v>1441836250</v>
      </c>
      <c r="E25">
        <v>1</v>
      </c>
      <c r="F25">
        <v>1</v>
      </c>
      <c r="G25">
        <v>15514512</v>
      </c>
      <c r="H25">
        <v>3</v>
      </c>
      <c r="I25" t="s">
        <v>427</v>
      </c>
      <c r="J25" t="s">
        <v>428</v>
      </c>
      <c r="K25" t="s">
        <v>429</v>
      </c>
      <c r="L25">
        <v>1327</v>
      </c>
      <c r="N25">
        <v>1005</v>
      </c>
      <c r="O25" t="s">
        <v>430</v>
      </c>
      <c r="P25" t="s">
        <v>430</v>
      </c>
      <c r="Q25">
        <v>1</v>
      </c>
      <c r="W25">
        <v>0</v>
      </c>
      <c r="X25">
        <v>1447035648</v>
      </c>
      <c r="Y25">
        <f t="shared" si="7"/>
        <v>1.1000000000000001</v>
      </c>
      <c r="AA25">
        <v>149.25</v>
      </c>
      <c r="AB25">
        <v>0</v>
      </c>
      <c r="AC25">
        <v>0</v>
      </c>
      <c r="AD25">
        <v>0</v>
      </c>
      <c r="AE25">
        <v>149.25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1.1000000000000001</v>
      </c>
      <c r="AU25" t="s">
        <v>3</v>
      </c>
      <c r="AV25">
        <v>0</v>
      </c>
      <c r="AW25">
        <v>2</v>
      </c>
      <c r="AX25">
        <v>1473082028</v>
      </c>
      <c r="AY25">
        <v>1</v>
      </c>
      <c r="AZ25">
        <v>0</v>
      </c>
      <c r="BA25">
        <v>81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ROUND(Y25*Source!I417,9)</f>
        <v>2.2000000000000002</v>
      </c>
      <c r="CY25">
        <f t="shared" si="10"/>
        <v>149.25</v>
      </c>
      <c r="CZ25">
        <f t="shared" si="11"/>
        <v>149.25</v>
      </c>
      <c r="DA25">
        <f t="shared" si="12"/>
        <v>1</v>
      </c>
      <c r="DB25">
        <f t="shared" si="8"/>
        <v>164.18</v>
      </c>
      <c r="DC25">
        <f t="shared" si="9"/>
        <v>0</v>
      </c>
      <c r="DD25" t="s">
        <v>3</v>
      </c>
      <c r="DE25" t="s">
        <v>3</v>
      </c>
      <c r="DF25">
        <f t="shared" si="3"/>
        <v>328.35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3"/>
        <v>328.35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ROW(Source!A417)</f>
        <v>417</v>
      </c>
      <c r="B26">
        <v>1473080740</v>
      </c>
      <c r="C26">
        <v>1473082014</v>
      </c>
      <c r="D26">
        <v>1441834635</v>
      </c>
      <c r="E26">
        <v>1</v>
      </c>
      <c r="F26">
        <v>1</v>
      </c>
      <c r="G26">
        <v>15514512</v>
      </c>
      <c r="H26">
        <v>3</v>
      </c>
      <c r="I26" t="s">
        <v>431</v>
      </c>
      <c r="J26" t="s">
        <v>432</v>
      </c>
      <c r="K26" t="s">
        <v>433</v>
      </c>
      <c r="L26">
        <v>1339</v>
      </c>
      <c r="N26">
        <v>1007</v>
      </c>
      <c r="O26" t="s">
        <v>434</v>
      </c>
      <c r="P26" t="s">
        <v>434</v>
      </c>
      <c r="Q26">
        <v>1</v>
      </c>
      <c r="W26">
        <v>0</v>
      </c>
      <c r="X26">
        <v>-389859187</v>
      </c>
      <c r="Y26">
        <f t="shared" si="7"/>
        <v>0.5</v>
      </c>
      <c r="AA26">
        <v>103.4</v>
      </c>
      <c r="AB26">
        <v>0</v>
      </c>
      <c r="AC26">
        <v>0</v>
      </c>
      <c r="AD26">
        <v>0</v>
      </c>
      <c r="AE26">
        <v>103.4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0.5</v>
      </c>
      <c r="AU26" t="s">
        <v>3</v>
      </c>
      <c r="AV26">
        <v>0</v>
      </c>
      <c r="AW26">
        <v>2</v>
      </c>
      <c r="AX26">
        <v>1473082029</v>
      </c>
      <c r="AY26">
        <v>1</v>
      </c>
      <c r="AZ26">
        <v>0</v>
      </c>
      <c r="BA26">
        <v>82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ROUND(Y26*Source!I417,9)</f>
        <v>1</v>
      </c>
      <c r="CY26">
        <f t="shared" si="10"/>
        <v>103.4</v>
      </c>
      <c r="CZ26">
        <f t="shared" si="11"/>
        <v>103.4</v>
      </c>
      <c r="DA26">
        <f t="shared" si="12"/>
        <v>1</v>
      </c>
      <c r="DB26">
        <f t="shared" si="8"/>
        <v>51.7</v>
      </c>
      <c r="DC26">
        <f t="shared" si="9"/>
        <v>0</v>
      </c>
      <c r="DD26" t="s">
        <v>3</v>
      </c>
      <c r="DE26" t="s">
        <v>3</v>
      </c>
      <c r="DF26">
        <f t="shared" si="3"/>
        <v>103.4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3"/>
        <v>103.4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ROW(Source!A417)</f>
        <v>417</v>
      </c>
      <c r="B27">
        <v>1473080740</v>
      </c>
      <c r="C27">
        <v>1473082014</v>
      </c>
      <c r="D27">
        <v>1441834627</v>
      </c>
      <c r="E27">
        <v>1</v>
      </c>
      <c r="F27">
        <v>1</v>
      </c>
      <c r="G27">
        <v>15514512</v>
      </c>
      <c r="H27">
        <v>3</v>
      </c>
      <c r="I27" t="s">
        <v>435</v>
      </c>
      <c r="J27" t="s">
        <v>436</v>
      </c>
      <c r="K27" t="s">
        <v>437</v>
      </c>
      <c r="L27">
        <v>1339</v>
      </c>
      <c r="N27">
        <v>1007</v>
      </c>
      <c r="O27" t="s">
        <v>434</v>
      </c>
      <c r="P27" t="s">
        <v>434</v>
      </c>
      <c r="Q27">
        <v>1</v>
      </c>
      <c r="W27">
        <v>0</v>
      </c>
      <c r="X27">
        <v>709656040</v>
      </c>
      <c r="Y27">
        <f t="shared" si="7"/>
        <v>0.3</v>
      </c>
      <c r="AA27">
        <v>875.46</v>
      </c>
      <c r="AB27">
        <v>0</v>
      </c>
      <c r="AC27">
        <v>0</v>
      </c>
      <c r="AD27">
        <v>0</v>
      </c>
      <c r="AE27">
        <v>875.46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0.3</v>
      </c>
      <c r="AU27" t="s">
        <v>3</v>
      </c>
      <c r="AV27">
        <v>0</v>
      </c>
      <c r="AW27">
        <v>2</v>
      </c>
      <c r="AX27">
        <v>1473082030</v>
      </c>
      <c r="AY27">
        <v>1</v>
      </c>
      <c r="AZ27">
        <v>0</v>
      </c>
      <c r="BA27">
        <v>83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ROUND(Y27*Source!I417,9)</f>
        <v>0.6</v>
      </c>
      <c r="CY27">
        <f t="shared" si="10"/>
        <v>875.46</v>
      </c>
      <c r="CZ27">
        <f t="shared" si="11"/>
        <v>875.46</v>
      </c>
      <c r="DA27">
        <f t="shared" si="12"/>
        <v>1</v>
      </c>
      <c r="DB27">
        <f t="shared" si="8"/>
        <v>262.64</v>
      </c>
      <c r="DC27">
        <f t="shared" si="9"/>
        <v>0</v>
      </c>
      <c r="DD27" t="s">
        <v>3</v>
      </c>
      <c r="DE27" t="s">
        <v>3</v>
      </c>
      <c r="DF27">
        <f t="shared" si="3"/>
        <v>525.28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3"/>
        <v>525.28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ROW(Source!A417)</f>
        <v>417</v>
      </c>
      <c r="B28">
        <v>1473080740</v>
      </c>
      <c r="C28">
        <v>1473082014</v>
      </c>
      <c r="D28">
        <v>1441834671</v>
      </c>
      <c r="E28">
        <v>1</v>
      </c>
      <c r="F28">
        <v>1</v>
      </c>
      <c r="G28">
        <v>15514512</v>
      </c>
      <c r="H28">
        <v>3</v>
      </c>
      <c r="I28" t="s">
        <v>413</v>
      </c>
      <c r="J28" t="s">
        <v>414</v>
      </c>
      <c r="K28" t="s">
        <v>415</v>
      </c>
      <c r="L28">
        <v>1348</v>
      </c>
      <c r="N28">
        <v>1009</v>
      </c>
      <c r="O28" t="s">
        <v>412</v>
      </c>
      <c r="P28" t="s">
        <v>412</v>
      </c>
      <c r="Q28">
        <v>1000</v>
      </c>
      <c r="W28">
        <v>0</v>
      </c>
      <c r="X28">
        <v>-19071303</v>
      </c>
      <c r="Y28">
        <f t="shared" si="7"/>
        <v>1E-4</v>
      </c>
      <c r="AA28">
        <v>184462.17</v>
      </c>
      <c r="AB28">
        <v>0</v>
      </c>
      <c r="AC28">
        <v>0</v>
      </c>
      <c r="AD28">
        <v>0</v>
      </c>
      <c r="AE28">
        <v>184462.17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1E-4</v>
      </c>
      <c r="AU28" t="s">
        <v>3</v>
      </c>
      <c r="AV28">
        <v>0</v>
      </c>
      <c r="AW28">
        <v>2</v>
      </c>
      <c r="AX28">
        <v>1473082031</v>
      </c>
      <c r="AY28">
        <v>1</v>
      </c>
      <c r="AZ28">
        <v>0</v>
      </c>
      <c r="BA28">
        <v>84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ROUND(Y28*Source!I417,9)</f>
        <v>2.0000000000000001E-4</v>
      </c>
      <c r="CY28">
        <f t="shared" si="10"/>
        <v>184462.17</v>
      </c>
      <c r="CZ28">
        <f t="shared" si="11"/>
        <v>184462.17</v>
      </c>
      <c r="DA28">
        <f t="shared" si="12"/>
        <v>1</v>
      </c>
      <c r="DB28">
        <f t="shared" si="8"/>
        <v>18.45</v>
      </c>
      <c r="DC28">
        <f t="shared" si="9"/>
        <v>0</v>
      </c>
      <c r="DD28" t="s">
        <v>3</v>
      </c>
      <c r="DE28" t="s">
        <v>3</v>
      </c>
      <c r="DF28">
        <f t="shared" si="3"/>
        <v>36.89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3"/>
        <v>36.89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ROW(Source!A417)</f>
        <v>417</v>
      </c>
      <c r="B29">
        <v>1473080740</v>
      </c>
      <c r="C29">
        <v>1473082014</v>
      </c>
      <c r="D29">
        <v>1441834634</v>
      </c>
      <c r="E29">
        <v>1</v>
      </c>
      <c r="F29">
        <v>1</v>
      </c>
      <c r="G29">
        <v>15514512</v>
      </c>
      <c r="H29">
        <v>3</v>
      </c>
      <c r="I29" t="s">
        <v>416</v>
      </c>
      <c r="J29" t="s">
        <v>417</v>
      </c>
      <c r="K29" t="s">
        <v>418</v>
      </c>
      <c r="L29">
        <v>1348</v>
      </c>
      <c r="N29">
        <v>1009</v>
      </c>
      <c r="O29" t="s">
        <v>412</v>
      </c>
      <c r="P29" t="s">
        <v>412</v>
      </c>
      <c r="Q29">
        <v>1000</v>
      </c>
      <c r="W29">
        <v>0</v>
      </c>
      <c r="X29">
        <v>1869974630</v>
      </c>
      <c r="Y29">
        <f t="shared" si="7"/>
        <v>2.9999999999999997E-4</v>
      </c>
      <c r="AA29">
        <v>88053.759999999995</v>
      </c>
      <c r="AB29">
        <v>0</v>
      </c>
      <c r="AC29">
        <v>0</v>
      </c>
      <c r="AD29">
        <v>0</v>
      </c>
      <c r="AE29">
        <v>88053.759999999995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2.9999999999999997E-4</v>
      </c>
      <c r="AU29" t="s">
        <v>3</v>
      </c>
      <c r="AV29">
        <v>0</v>
      </c>
      <c r="AW29">
        <v>2</v>
      </c>
      <c r="AX29">
        <v>1473082032</v>
      </c>
      <c r="AY29">
        <v>1</v>
      </c>
      <c r="AZ29">
        <v>0</v>
      </c>
      <c r="BA29">
        <v>85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ROUND(Y29*Source!I417,9)</f>
        <v>5.9999999999999995E-4</v>
      </c>
      <c r="CY29">
        <f t="shared" si="10"/>
        <v>88053.759999999995</v>
      </c>
      <c r="CZ29">
        <f t="shared" si="11"/>
        <v>88053.759999999995</v>
      </c>
      <c r="DA29">
        <f t="shared" si="12"/>
        <v>1</v>
      </c>
      <c r="DB29">
        <f t="shared" si="8"/>
        <v>26.42</v>
      </c>
      <c r="DC29">
        <f t="shared" si="9"/>
        <v>0</v>
      </c>
      <c r="DD29" t="s">
        <v>3</v>
      </c>
      <c r="DE29" t="s">
        <v>3</v>
      </c>
      <c r="DF29">
        <f t="shared" si="3"/>
        <v>52.83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3"/>
        <v>52.83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ROW(Source!A417)</f>
        <v>417</v>
      </c>
      <c r="B30">
        <v>1473080740</v>
      </c>
      <c r="C30">
        <v>1473082014</v>
      </c>
      <c r="D30">
        <v>1441834836</v>
      </c>
      <c r="E30">
        <v>1</v>
      </c>
      <c r="F30">
        <v>1</v>
      </c>
      <c r="G30">
        <v>15514512</v>
      </c>
      <c r="H30">
        <v>3</v>
      </c>
      <c r="I30" t="s">
        <v>419</v>
      </c>
      <c r="J30" t="s">
        <v>420</v>
      </c>
      <c r="K30" t="s">
        <v>421</v>
      </c>
      <c r="L30">
        <v>1348</v>
      </c>
      <c r="N30">
        <v>1009</v>
      </c>
      <c r="O30" t="s">
        <v>412</v>
      </c>
      <c r="P30" t="s">
        <v>412</v>
      </c>
      <c r="Q30">
        <v>1000</v>
      </c>
      <c r="W30">
        <v>0</v>
      </c>
      <c r="X30">
        <v>1434651514</v>
      </c>
      <c r="Y30">
        <f t="shared" si="7"/>
        <v>6.3000000000000003E-4</v>
      </c>
      <c r="AA30">
        <v>93194.67</v>
      </c>
      <c r="AB30">
        <v>0</v>
      </c>
      <c r="AC30">
        <v>0</v>
      </c>
      <c r="AD30">
        <v>0</v>
      </c>
      <c r="AE30">
        <v>93194.67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6.3000000000000003E-4</v>
      </c>
      <c r="AU30" t="s">
        <v>3</v>
      </c>
      <c r="AV30">
        <v>0</v>
      </c>
      <c r="AW30">
        <v>2</v>
      </c>
      <c r="AX30">
        <v>1473082033</v>
      </c>
      <c r="AY30">
        <v>1</v>
      </c>
      <c r="AZ30">
        <v>0</v>
      </c>
      <c r="BA30">
        <v>86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ROUND(Y30*Source!I417,9)</f>
        <v>1.2600000000000001E-3</v>
      </c>
      <c r="CY30">
        <f t="shared" si="10"/>
        <v>93194.67</v>
      </c>
      <c r="CZ30">
        <f t="shared" si="11"/>
        <v>93194.67</v>
      </c>
      <c r="DA30">
        <f t="shared" si="12"/>
        <v>1</v>
      </c>
      <c r="DB30">
        <f t="shared" si="8"/>
        <v>58.71</v>
      </c>
      <c r="DC30">
        <f t="shared" si="9"/>
        <v>0</v>
      </c>
      <c r="DD30" t="s">
        <v>3</v>
      </c>
      <c r="DE30" t="s">
        <v>3</v>
      </c>
      <c r="DF30">
        <f t="shared" si="3"/>
        <v>117.43</v>
      </c>
      <c r="DG30">
        <f t="shared" si="4"/>
        <v>0</v>
      </c>
      <c r="DH30">
        <f t="shared" si="5"/>
        <v>0</v>
      </c>
      <c r="DI30">
        <f t="shared" si="6"/>
        <v>0</v>
      </c>
      <c r="DJ30">
        <f t="shared" si="13"/>
        <v>117.43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ROW(Source!A417)</f>
        <v>417</v>
      </c>
      <c r="B31">
        <v>1473080740</v>
      </c>
      <c r="C31">
        <v>1473082014</v>
      </c>
      <c r="D31">
        <v>1441822273</v>
      </c>
      <c r="E31">
        <v>15514512</v>
      </c>
      <c r="F31">
        <v>1</v>
      </c>
      <c r="G31">
        <v>15514512</v>
      </c>
      <c r="H31">
        <v>3</v>
      </c>
      <c r="I31" t="s">
        <v>422</v>
      </c>
      <c r="J31" t="s">
        <v>3</v>
      </c>
      <c r="K31" t="s">
        <v>423</v>
      </c>
      <c r="L31">
        <v>1348</v>
      </c>
      <c r="N31">
        <v>1009</v>
      </c>
      <c r="O31" t="s">
        <v>412</v>
      </c>
      <c r="P31" t="s">
        <v>412</v>
      </c>
      <c r="Q31">
        <v>1000</v>
      </c>
      <c r="W31">
        <v>0</v>
      </c>
      <c r="X31">
        <v>-1698336702</v>
      </c>
      <c r="Y31">
        <f t="shared" si="7"/>
        <v>6.9999999999999994E-5</v>
      </c>
      <c r="AA31">
        <v>94640</v>
      </c>
      <c r="AB31">
        <v>0</v>
      </c>
      <c r="AC31">
        <v>0</v>
      </c>
      <c r="AD31">
        <v>0</v>
      </c>
      <c r="AE31">
        <v>94640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6.9999999999999994E-5</v>
      </c>
      <c r="AU31" t="s">
        <v>3</v>
      </c>
      <c r="AV31">
        <v>0</v>
      </c>
      <c r="AW31">
        <v>2</v>
      </c>
      <c r="AX31">
        <v>1473082034</v>
      </c>
      <c r="AY31">
        <v>1</v>
      </c>
      <c r="AZ31">
        <v>0</v>
      </c>
      <c r="BA31">
        <v>87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ROUND(Y31*Source!I417,9)</f>
        <v>1.3999999999999999E-4</v>
      </c>
      <c r="CY31">
        <f t="shared" si="10"/>
        <v>94640</v>
      </c>
      <c r="CZ31">
        <f t="shared" si="11"/>
        <v>94640</v>
      </c>
      <c r="DA31">
        <f t="shared" si="12"/>
        <v>1</v>
      </c>
      <c r="DB31">
        <f t="shared" si="8"/>
        <v>6.62</v>
      </c>
      <c r="DC31">
        <f t="shared" si="9"/>
        <v>0</v>
      </c>
      <c r="DD31" t="s">
        <v>3</v>
      </c>
      <c r="DE31" t="s">
        <v>3</v>
      </c>
      <c r="DF31">
        <f t="shared" si="3"/>
        <v>13.25</v>
      </c>
      <c r="DG31">
        <f t="shared" si="4"/>
        <v>0</v>
      </c>
      <c r="DH31">
        <f t="shared" si="5"/>
        <v>0</v>
      </c>
      <c r="DI31">
        <f t="shared" si="6"/>
        <v>0</v>
      </c>
      <c r="DJ31">
        <f t="shared" si="13"/>
        <v>13.25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ROW(Source!A420)</f>
        <v>420</v>
      </c>
      <c r="B32">
        <v>1473080740</v>
      </c>
      <c r="C32">
        <v>1473082035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391</v>
      </c>
      <c r="J32" t="s">
        <v>3</v>
      </c>
      <c r="K32" t="s">
        <v>392</v>
      </c>
      <c r="L32">
        <v>1191</v>
      </c>
      <c r="N32">
        <v>1013</v>
      </c>
      <c r="O32" t="s">
        <v>393</v>
      </c>
      <c r="P32" t="s">
        <v>393</v>
      </c>
      <c r="Q32">
        <v>1</v>
      </c>
      <c r="W32">
        <v>0</v>
      </c>
      <c r="X32">
        <v>476480486</v>
      </c>
      <c r="Y32">
        <f t="shared" si="7"/>
        <v>6.44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6.44</v>
      </c>
      <c r="AU32" t="s">
        <v>3</v>
      </c>
      <c r="AV32">
        <v>1</v>
      </c>
      <c r="AW32">
        <v>2</v>
      </c>
      <c r="AX32">
        <v>1473082040</v>
      </c>
      <c r="AY32">
        <v>1</v>
      </c>
      <c r="AZ32">
        <v>0</v>
      </c>
      <c r="BA32">
        <v>92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U32">
        <f>ROUND(AT32*Source!I420*AH32*AL32,2)</f>
        <v>0</v>
      </c>
      <c r="CV32">
        <f>ROUND(Y32*Source!I420,9)</f>
        <v>12.88</v>
      </c>
      <c r="CW32">
        <v>0</v>
      </c>
      <c r="CX32">
        <f>ROUND(Y32*Source!I420,9)</f>
        <v>12.88</v>
      </c>
      <c r="CY32">
        <f>AD32</f>
        <v>0</v>
      </c>
      <c r="CZ32">
        <f>AH32</f>
        <v>0</v>
      </c>
      <c r="DA32">
        <f>AL32</f>
        <v>1</v>
      </c>
      <c r="DB32">
        <f t="shared" si="8"/>
        <v>0</v>
      </c>
      <c r="DC32">
        <f t="shared" si="9"/>
        <v>0</v>
      </c>
      <c r="DD32" t="s">
        <v>3</v>
      </c>
      <c r="DE32" t="s">
        <v>3</v>
      </c>
      <c r="DF32">
        <f t="shared" si="3"/>
        <v>0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ROW(Source!A420)</f>
        <v>420</v>
      </c>
      <c r="B33">
        <v>1473080740</v>
      </c>
      <c r="C33">
        <v>1473082035</v>
      </c>
      <c r="D33">
        <v>1441833954</v>
      </c>
      <c r="E33">
        <v>1</v>
      </c>
      <c r="F33">
        <v>1</v>
      </c>
      <c r="G33">
        <v>15514512</v>
      </c>
      <c r="H33">
        <v>2</v>
      </c>
      <c r="I33" t="s">
        <v>438</v>
      </c>
      <c r="J33" t="s">
        <v>439</v>
      </c>
      <c r="K33" t="s">
        <v>440</v>
      </c>
      <c r="L33">
        <v>1368</v>
      </c>
      <c r="N33">
        <v>1011</v>
      </c>
      <c r="O33" t="s">
        <v>397</v>
      </c>
      <c r="P33" t="s">
        <v>397</v>
      </c>
      <c r="Q33">
        <v>1</v>
      </c>
      <c r="W33">
        <v>0</v>
      </c>
      <c r="X33">
        <v>-1438587603</v>
      </c>
      <c r="Y33">
        <f t="shared" si="7"/>
        <v>0.17</v>
      </c>
      <c r="AA33">
        <v>0</v>
      </c>
      <c r="AB33">
        <v>59.51</v>
      </c>
      <c r="AC33">
        <v>0.82</v>
      </c>
      <c r="AD33">
        <v>0</v>
      </c>
      <c r="AE33">
        <v>0</v>
      </c>
      <c r="AF33">
        <v>59.51</v>
      </c>
      <c r="AG33">
        <v>0.82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0.17</v>
      </c>
      <c r="AU33" t="s">
        <v>3</v>
      </c>
      <c r="AV33">
        <v>0</v>
      </c>
      <c r="AW33">
        <v>2</v>
      </c>
      <c r="AX33">
        <v>1473082041</v>
      </c>
      <c r="AY33">
        <v>1</v>
      </c>
      <c r="AZ33">
        <v>0</v>
      </c>
      <c r="BA33">
        <v>93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f>ROUND(Y33*Source!I420*DO33,9)</f>
        <v>0</v>
      </c>
      <c r="CX33">
        <f>ROUND(Y33*Source!I420,9)</f>
        <v>0.34</v>
      </c>
      <c r="CY33">
        <f>AB33</f>
        <v>59.51</v>
      </c>
      <c r="CZ33">
        <f>AF33</f>
        <v>59.51</v>
      </c>
      <c r="DA33">
        <f>AJ33</f>
        <v>1</v>
      </c>
      <c r="DB33">
        <f t="shared" si="8"/>
        <v>10.119999999999999</v>
      </c>
      <c r="DC33">
        <f t="shared" si="9"/>
        <v>0.14000000000000001</v>
      </c>
      <c r="DD33" t="s">
        <v>3</v>
      </c>
      <c r="DE33" t="s">
        <v>3</v>
      </c>
      <c r="DF33">
        <f t="shared" ref="DF33:DF64" si="14">ROUND(ROUND(AE33,2)*CX33,2)</f>
        <v>0</v>
      </c>
      <c r="DG33">
        <f t="shared" ref="DG33:DG64" si="15">ROUND(ROUND(AF33,2)*CX33,2)</f>
        <v>20.23</v>
      </c>
      <c r="DH33">
        <f t="shared" ref="DH33:DH64" si="16">ROUND(ROUND(AG33,2)*CX33,2)</f>
        <v>0.28000000000000003</v>
      </c>
      <c r="DI33">
        <f t="shared" ref="DI33:DI64" si="17">ROUND(ROUND(AH33,2)*CX33,2)</f>
        <v>0</v>
      </c>
      <c r="DJ33">
        <f>DG33</f>
        <v>20.23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ROW(Source!A420)</f>
        <v>420</v>
      </c>
      <c r="B34">
        <v>1473080740</v>
      </c>
      <c r="C34">
        <v>1473082035</v>
      </c>
      <c r="D34">
        <v>1441834258</v>
      </c>
      <c r="E34">
        <v>1</v>
      </c>
      <c r="F34">
        <v>1</v>
      </c>
      <c r="G34">
        <v>15514512</v>
      </c>
      <c r="H34">
        <v>2</v>
      </c>
      <c r="I34" t="s">
        <v>394</v>
      </c>
      <c r="J34" t="s">
        <v>395</v>
      </c>
      <c r="K34" t="s">
        <v>396</v>
      </c>
      <c r="L34">
        <v>1368</v>
      </c>
      <c r="N34">
        <v>1011</v>
      </c>
      <c r="O34" t="s">
        <v>397</v>
      </c>
      <c r="P34" t="s">
        <v>397</v>
      </c>
      <c r="Q34">
        <v>1</v>
      </c>
      <c r="W34">
        <v>0</v>
      </c>
      <c r="X34">
        <v>1077756263</v>
      </c>
      <c r="Y34">
        <f t="shared" si="7"/>
        <v>2.4300000000000002</v>
      </c>
      <c r="AA34">
        <v>0</v>
      </c>
      <c r="AB34">
        <v>1303.01</v>
      </c>
      <c r="AC34">
        <v>826.2</v>
      </c>
      <c r="AD34">
        <v>0</v>
      </c>
      <c r="AE34">
        <v>0</v>
      </c>
      <c r="AF34">
        <v>1303.01</v>
      </c>
      <c r="AG34">
        <v>826.2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2.4300000000000002</v>
      </c>
      <c r="AU34" t="s">
        <v>3</v>
      </c>
      <c r="AV34">
        <v>0</v>
      </c>
      <c r="AW34">
        <v>2</v>
      </c>
      <c r="AX34">
        <v>1473082042</v>
      </c>
      <c r="AY34">
        <v>1</v>
      </c>
      <c r="AZ34">
        <v>0</v>
      </c>
      <c r="BA34">
        <v>94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ROUND(Y34*Source!I420*DO34,9)</f>
        <v>0</v>
      </c>
      <c r="CX34">
        <f>ROUND(Y34*Source!I420,9)</f>
        <v>4.8600000000000003</v>
      </c>
      <c r="CY34">
        <f>AB34</f>
        <v>1303.01</v>
      </c>
      <c r="CZ34">
        <f>AF34</f>
        <v>1303.01</v>
      </c>
      <c r="DA34">
        <f>AJ34</f>
        <v>1</v>
      </c>
      <c r="DB34">
        <f t="shared" si="8"/>
        <v>3166.31</v>
      </c>
      <c r="DC34">
        <f t="shared" si="9"/>
        <v>2007.67</v>
      </c>
      <c r="DD34" t="s">
        <v>3</v>
      </c>
      <c r="DE34" t="s">
        <v>3</v>
      </c>
      <c r="DF34">
        <f t="shared" si="14"/>
        <v>0</v>
      </c>
      <c r="DG34">
        <f t="shared" si="15"/>
        <v>6332.63</v>
      </c>
      <c r="DH34">
        <f t="shared" si="16"/>
        <v>4015.33</v>
      </c>
      <c r="DI34">
        <f t="shared" si="17"/>
        <v>0</v>
      </c>
      <c r="DJ34">
        <f>DG34</f>
        <v>6332.63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ROW(Source!A420)</f>
        <v>420</v>
      </c>
      <c r="B35">
        <v>1473080740</v>
      </c>
      <c r="C35">
        <v>1473082035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398</v>
      </c>
      <c r="J35" t="s">
        <v>399</v>
      </c>
      <c r="K35" t="s">
        <v>400</v>
      </c>
      <c r="L35">
        <v>1346</v>
      </c>
      <c r="N35">
        <v>1009</v>
      </c>
      <c r="O35" t="s">
        <v>401</v>
      </c>
      <c r="P35" t="s">
        <v>401</v>
      </c>
      <c r="Q35">
        <v>1</v>
      </c>
      <c r="W35">
        <v>0</v>
      </c>
      <c r="X35">
        <v>-1595335418</v>
      </c>
      <c r="Y35">
        <f t="shared" si="7"/>
        <v>0.15</v>
      </c>
      <c r="AA35">
        <v>31.49</v>
      </c>
      <c r="AB35">
        <v>0</v>
      </c>
      <c r="AC35">
        <v>0</v>
      </c>
      <c r="AD35">
        <v>0</v>
      </c>
      <c r="AE35">
        <v>31.49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0.15</v>
      </c>
      <c r="AU35" t="s">
        <v>3</v>
      </c>
      <c r="AV35">
        <v>0</v>
      </c>
      <c r="AW35">
        <v>2</v>
      </c>
      <c r="AX35">
        <v>1473082043</v>
      </c>
      <c r="AY35">
        <v>1</v>
      </c>
      <c r="AZ35">
        <v>0</v>
      </c>
      <c r="BA35">
        <v>95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ROUND(Y35*Source!I420,9)</f>
        <v>0.3</v>
      </c>
      <c r="CY35">
        <f>AA35</f>
        <v>31.49</v>
      </c>
      <c r="CZ35">
        <f>AE35</f>
        <v>31.49</v>
      </c>
      <c r="DA35">
        <f>AI35</f>
        <v>1</v>
      </c>
      <c r="DB35">
        <f t="shared" si="8"/>
        <v>4.72</v>
      </c>
      <c r="DC35">
        <f t="shared" si="9"/>
        <v>0</v>
      </c>
      <c r="DD35" t="s">
        <v>3</v>
      </c>
      <c r="DE35" t="s">
        <v>3</v>
      </c>
      <c r="DF35">
        <f t="shared" si="14"/>
        <v>9.4499999999999993</v>
      </c>
      <c r="DG35">
        <f t="shared" si="15"/>
        <v>0</v>
      </c>
      <c r="DH35">
        <f t="shared" si="16"/>
        <v>0</v>
      </c>
      <c r="DI35">
        <f t="shared" si="17"/>
        <v>0</v>
      </c>
      <c r="DJ35">
        <f>DF35</f>
        <v>9.4499999999999993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ROW(Source!A423)</f>
        <v>423</v>
      </c>
      <c r="B36">
        <v>1473080740</v>
      </c>
      <c r="C36">
        <v>1473082058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391</v>
      </c>
      <c r="J36" t="s">
        <v>3</v>
      </c>
      <c r="K36" t="s">
        <v>392</v>
      </c>
      <c r="L36">
        <v>1191</v>
      </c>
      <c r="N36">
        <v>1013</v>
      </c>
      <c r="O36" t="s">
        <v>393</v>
      </c>
      <c r="P36" t="s">
        <v>393</v>
      </c>
      <c r="Q36">
        <v>1</v>
      </c>
      <c r="W36">
        <v>0</v>
      </c>
      <c r="X36">
        <v>476480486</v>
      </c>
      <c r="Y36">
        <f t="shared" si="7"/>
        <v>0.24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0.24</v>
      </c>
      <c r="AU36" t="s">
        <v>3</v>
      </c>
      <c r="AV36">
        <v>1</v>
      </c>
      <c r="AW36">
        <v>2</v>
      </c>
      <c r="AX36">
        <v>1473082062</v>
      </c>
      <c r="AY36">
        <v>1</v>
      </c>
      <c r="AZ36">
        <v>0</v>
      </c>
      <c r="BA36">
        <v>99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ROUND(AT36*Source!I423*AH36*AL36,2)</f>
        <v>0</v>
      </c>
      <c r="CV36">
        <f>ROUND(Y36*Source!I423,9)</f>
        <v>0.48</v>
      </c>
      <c r="CW36">
        <v>0</v>
      </c>
      <c r="CX36">
        <f>ROUND(Y36*Source!I423,9)</f>
        <v>0.48</v>
      </c>
      <c r="CY36">
        <f>AD36</f>
        <v>0</v>
      </c>
      <c r="CZ36">
        <f>AH36</f>
        <v>0</v>
      </c>
      <c r="DA36">
        <f>AL36</f>
        <v>1</v>
      </c>
      <c r="DB36">
        <f t="shared" si="8"/>
        <v>0</v>
      </c>
      <c r="DC36">
        <f t="shared" si="9"/>
        <v>0</v>
      </c>
      <c r="DD36" t="s">
        <v>3</v>
      </c>
      <c r="DE36" t="s">
        <v>3</v>
      </c>
      <c r="DF36">
        <f t="shared" si="14"/>
        <v>0</v>
      </c>
      <c r="DG36">
        <f t="shared" si="15"/>
        <v>0</v>
      </c>
      <c r="DH36">
        <f t="shared" si="16"/>
        <v>0</v>
      </c>
      <c r="DI36">
        <f t="shared" si="17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ROW(Source!A423)</f>
        <v>423</v>
      </c>
      <c r="B37">
        <v>1473080740</v>
      </c>
      <c r="C37">
        <v>1473082058</v>
      </c>
      <c r="D37">
        <v>1441834258</v>
      </c>
      <c r="E37">
        <v>1</v>
      </c>
      <c r="F37">
        <v>1</v>
      </c>
      <c r="G37">
        <v>15514512</v>
      </c>
      <c r="H37">
        <v>2</v>
      </c>
      <c r="I37" t="s">
        <v>394</v>
      </c>
      <c r="J37" t="s">
        <v>395</v>
      </c>
      <c r="K37" t="s">
        <v>396</v>
      </c>
      <c r="L37">
        <v>1368</v>
      </c>
      <c r="N37">
        <v>1011</v>
      </c>
      <c r="O37" t="s">
        <v>397</v>
      </c>
      <c r="P37" t="s">
        <v>397</v>
      </c>
      <c r="Q37">
        <v>1</v>
      </c>
      <c r="W37">
        <v>0</v>
      </c>
      <c r="X37">
        <v>1077756263</v>
      </c>
      <c r="Y37">
        <f t="shared" si="7"/>
        <v>0.03</v>
      </c>
      <c r="AA37">
        <v>0</v>
      </c>
      <c r="AB37">
        <v>1303.01</v>
      </c>
      <c r="AC37">
        <v>826.2</v>
      </c>
      <c r="AD37">
        <v>0</v>
      </c>
      <c r="AE37">
        <v>0</v>
      </c>
      <c r="AF37">
        <v>1303.01</v>
      </c>
      <c r="AG37">
        <v>826.2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0.03</v>
      </c>
      <c r="AU37" t="s">
        <v>3</v>
      </c>
      <c r="AV37">
        <v>0</v>
      </c>
      <c r="AW37">
        <v>2</v>
      </c>
      <c r="AX37">
        <v>1473082063</v>
      </c>
      <c r="AY37">
        <v>1</v>
      </c>
      <c r="AZ37">
        <v>0</v>
      </c>
      <c r="BA37">
        <v>100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ROUND(Y37*Source!I423*DO37,9)</f>
        <v>0</v>
      </c>
      <c r="CX37">
        <f>ROUND(Y37*Source!I423,9)</f>
        <v>0.06</v>
      </c>
      <c r="CY37">
        <f>AB37</f>
        <v>1303.01</v>
      </c>
      <c r="CZ37">
        <f>AF37</f>
        <v>1303.01</v>
      </c>
      <c r="DA37">
        <f>AJ37</f>
        <v>1</v>
      </c>
      <c r="DB37">
        <f t="shared" si="8"/>
        <v>39.090000000000003</v>
      </c>
      <c r="DC37">
        <f t="shared" si="9"/>
        <v>24.79</v>
      </c>
      <c r="DD37" t="s">
        <v>3</v>
      </c>
      <c r="DE37" t="s">
        <v>3</v>
      </c>
      <c r="DF37">
        <f t="shared" si="14"/>
        <v>0</v>
      </c>
      <c r="DG37">
        <f t="shared" si="15"/>
        <v>78.180000000000007</v>
      </c>
      <c r="DH37">
        <f t="shared" si="16"/>
        <v>49.57</v>
      </c>
      <c r="DI37">
        <f t="shared" si="17"/>
        <v>0</v>
      </c>
      <c r="DJ37">
        <f>DG37</f>
        <v>78.180000000000007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ROW(Source!A423)</f>
        <v>423</v>
      </c>
      <c r="B38">
        <v>1473080740</v>
      </c>
      <c r="C38">
        <v>1473082058</v>
      </c>
      <c r="D38">
        <v>1441836235</v>
      </c>
      <c r="E38">
        <v>1</v>
      </c>
      <c r="F38">
        <v>1</v>
      </c>
      <c r="G38">
        <v>15514512</v>
      </c>
      <c r="H38">
        <v>3</v>
      </c>
      <c r="I38" t="s">
        <v>398</v>
      </c>
      <c r="J38" t="s">
        <v>399</v>
      </c>
      <c r="K38" t="s">
        <v>400</v>
      </c>
      <c r="L38">
        <v>1346</v>
      </c>
      <c r="N38">
        <v>1009</v>
      </c>
      <c r="O38" t="s">
        <v>401</v>
      </c>
      <c r="P38" t="s">
        <v>401</v>
      </c>
      <c r="Q38">
        <v>1</v>
      </c>
      <c r="W38">
        <v>0</v>
      </c>
      <c r="X38">
        <v>-1595335418</v>
      </c>
      <c r="Y38">
        <f t="shared" si="7"/>
        <v>1.4999999999999999E-2</v>
      </c>
      <c r="AA38">
        <v>31.49</v>
      </c>
      <c r="AB38">
        <v>0</v>
      </c>
      <c r="AC38">
        <v>0</v>
      </c>
      <c r="AD38">
        <v>0</v>
      </c>
      <c r="AE38">
        <v>31.49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1.4999999999999999E-2</v>
      </c>
      <c r="AU38" t="s">
        <v>3</v>
      </c>
      <c r="AV38">
        <v>0</v>
      </c>
      <c r="AW38">
        <v>2</v>
      </c>
      <c r="AX38">
        <v>1473082064</v>
      </c>
      <c r="AY38">
        <v>1</v>
      </c>
      <c r="AZ38">
        <v>0</v>
      </c>
      <c r="BA38">
        <v>101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ROUND(Y38*Source!I423,9)</f>
        <v>0.03</v>
      </c>
      <c r="CY38">
        <f>AA38</f>
        <v>31.49</v>
      </c>
      <c r="CZ38">
        <f>AE38</f>
        <v>31.49</v>
      </c>
      <c r="DA38">
        <f>AI38</f>
        <v>1</v>
      </c>
      <c r="DB38">
        <f t="shared" si="8"/>
        <v>0.47</v>
      </c>
      <c r="DC38">
        <f t="shared" si="9"/>
        <v>0</v>
      </c>
      <c r="DD38" t="s">
        <v>3</v>
      </c>
      <c r="DE38" t="s">
        <v>3</v>
      </c>
      <c r="DF38">
        <f t="shared" si="14"/>
        <v>0.94</v>
      </c>
      <c r="DG38">
        <f t="shared" si="15"/>
        <v>0</v>
      </c>
      <c r="DH38">
        <f t="shared" si="16"/>
        <v>0</v>
      </c>
      <c r="DI38">
        <f t="shared" si="17"/>
        <v>0</v>
      </c>
      <c r="DJ38">
        <f>DF38</f>
        <v>0.94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ROW(Source!A424)</f>
        <v>424</v>
      </c>
      <c r="B39">
        <v>1473080740</v>
      </c>
      <c r="C39">
        <v>1473082065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391</v>
      </c>
      <c r="J39" t="s">
        <v>3</v>
      </c>
      <c r="K39" t="s">
        <v>392</v>
      </c>
      <c r="L39">
        <v>1191</v>
      </c>
      <c r="N39">
        <v>1013</v>
      </c>
      <c r="O39" t="s">
        <v>393</v>
      </c>
      <c r="P39" t="s">
        <v>393</v>
      </c>
      <c r="Q39">
        <v>1</v>
      </c>
      <c r="W39">
        <v>0</v>
      </c>
      <c r="X39">
        <v>476480486</v>
      </c>
      <c r="Y39">
        <f>(AT39*3)</f>
        <v>5.04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1.68</v>
      </c>
      <c r="AU39" t="s">
        <v>163</v>
      </c>
      <c r="AV39">
        <v>1</v>
      </c>
      <c r="AW39">
        <v>2</v>
      </c>
      <c r="AX39">
        <v>1473082067</v>
      </c>
      <c r="AY39">
        <v>1</v>
      </c>
      <c r="AZ39">
        <v>0</v>
      </c>
      <c r="BA39">
        <v>102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U39">
        <f>ROUND(AT39*Source!I424*AH39*AL39,2)</f>
        <v>0</v>
      </c>
      <c r="CV39">
        <f>ROUND(Y39*Source!I424,9)</f>
        <v>10.08</v>
      </c>
      <c r="CW39">
        <v>0</v>
      </c>
      <c r="CX39">
        <f>ROUND(Y39*Source!I424,9)</f>
        <v>10.08</v>
      </c>
      <c r="CY39">
        <f>AD39</f>
        <v>0</v>
      </c>
      <c r="CZ39">
        <f>AH39</f>
        <v>0</v>
      </c>
      <c r="DA39">
        <f>AL39</f>
        <v>1</v>
      </c>
      <c r="DB39">
        <f>ROUND((ROUND(AT39*CZ39,2)*3),6)</f>
        <v>0</v>
      </c>
      <c r="DC39">
        <f>ROUND((ROUND(AT39*AG39,2)*3),6)</f>
        <v>0</v>
      </c>
      <c r="DD39" t="s">
        <v>3</v>
      </c>
      <c r="DE39" t="s">
        <v>3</v>
      </c>
      <c r="DF39">
        <f t="shared" si="14"/>
        <v>0</v>
      </c>
      <c r="DG39">
        <f t="shared" si="15"/>
        <v>0</v>
      </c>
      <c r="DH39">
        <f t="shared" si="16"/>
        <v>0</v>
      </c>
      <c r="DI39">
        <f t="shared" si="17"/>
        <v>0</v>
      </c>
      <c r="DJ39">
        <f>DI39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ROW(Source!A494)</f>
        <v>494</v>
      </c>
      <c r="B40">
        <v>1473080740</v>
      </c>
      <c r="C40">
        <v>1473082068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391</v>
      </c>
      <c r="J40" t="s">
        <v>3</v>
      </c>
      <c r="K40" t="s">
        <v>392</v>
      </c>
      <c r="L40">
        <v>1191</v>
      </c>
      <c r="N40">
        <v>1013</v>
      </c>
      <c r="O40" t="s">
        <v>393</v>
      </c>
      <c r="P40" t="s">
        <v>393</v>
      </c>
      <c r="Q40">
        <v>1</v>
      </c>
      <c r="W40">
        <v>0</v>
      </c>
      <c r="X40">
        <v>476480486</v>
      </c>
      <c r="Y40">
        <f>(AT40*118)</f>
        <v>7.08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0.06</v>
      </c>
      <c r="AU40" t="s">
        <v>209</v>
      </c>
      <c r="AV40">
        <v>1</v>
      </c>
      <c r="AW40">
        <v>2</v>
      </c>
      <c r="AX40">
        <v>1473082070</v>
      </c>
      <c r="AY40">
        <v>1</v>
      </c>
      <c r="AZ40">
        <v>0</v>
      </c>
      <c r="BA40">
        <v>103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U40">
        <f>ROUND(AT40*Source!I494*AH40*AL40,2)</f>
        <v>0</v>
      </c>
      <c r="CV40">
        <f>ROUND(Y40*Source!I494,9)</f>
        <v>7.08</v>
      </c>
      <c r="CW40">
        <v>0</v>
      </c>
      <c r="CX40">
        <f>ROUND(Y40*Source!I494,9)</f>
        <v>7.08</v>
      </c>
      <c r="CY40">
        <f>AD40</f>
        <v>0</v>
      </c>
      <c r="CZ40">
        <f>AH40</f>
        <v>0</v>
      </c>
      <c r="DA40">
        <f>AL40</f>
        <v>1</v>
      </c>
      <c r="DB40">
        <f>ROUND((ROUND(AT40*CZ40,2)*118),6)</f>
        <v>0</v>
      </c>
      <c r="DC40">
        <f>ROUND((ROUND(AT40*AG40,2)*118),6)</f>
        <v>0</v>
      </c>
      <c r="DD40" t="s">
        <v>3</v>
      </c>
      <c r="DE40" t="s">
        <v>3</v>
      </c>
      <c r="DF40">
        <f t="shared" si="14"/>
        <v>0</v>
      </c>
      <c r="DG40">
        <f t="shared" si="15"/>
        <v>0</v>
      </c>
      <c r="DH40">
        <f t="shared" si="16"/>
        <v>0</v>
      </c>
      <c r="DI40">
        <f t="shared" si="17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ROW(Source!A495)</f>
        <v>495</v>
      </c>
      <c r="B41">
        <v>1473080740</v>
      </c>
      <c r="C41">
        <v>1473082071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391</v>
      </c>
      <c r="J41" t="s">
        <v>3</v>
      </c>
      <c r="K41" t="s">
        <v>392</v>
      </c>
      <c r="L41">
        <v>1191</v>
      </c>
      <c r="N41">
        <v>1013</v>
      </c>
      <c r="O41" t="s">
        <v>393</v>
      </c>
      <c r="P41" t="s">
        <v>393</v>
      </c>
      <c r="Q41">
        <v>1</v>
      </c>
      <c r="W41">
        <v>0</v>
      </c>
      <c r="X41">
        <v>476480486</v>
      </c>
      <c r="Y41">
        <f>(AT41*4)</f>
        <v>0.8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0.2</v>
      </c>
      <c r="AU41" t="s">
        <v>28</v>
      </c>
      <c r="AV41">
        <v>1</v>
      </c>
      <c r="AW41">
        <v>2</v>
      </c>
      <c r="AX41">
        <v>1473082074</v>
      </c>
      <c r="AY41">
        <v>1</v>
      </c>
      <c r="AZ41">
        <v>0</v>
      </c>
      <c r="BA41">
        <v>104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ROUND(AT41*Source!I495*AH41*AL41,2)</f>
        <v>0</v>
      </c>
      <c r="CV41">
        <f>ROUND(Y41*Source!I495,9)</f>
        <v>0.8</v>
      </c>
      <c r="CW41">
        <v>0</v>
      </c>
      <c r="CX41">
        <f>ROUND(Y41*Source!I495,9)</f>
        <v>0.8</v>
      </c>
      <c r="CY41">
        <f>AD41</f>
        <v>0</v>
      </c>
      <c r="CZ41">
        <f>AH41</f>
        <v>0</v>
      </c>
      <c r="DA41">
        <f>AL41</f>
        <v>1</v>
      </c>
      <c r="DB41">
        <f>ROUND((ROUND(AT41*CZ41,2)*4),6)</f>
        <v>0</v>
      </c>
      <c r="DC41">
        <f>ROUND((ROUND(AT41*AG41,2)*4),6)</f>
        <v>0</v>
      </c>
      <c r="DD41" t="s">
        <v>3</v>
      </c>
      <c r="DE41" t="s">
        <v>3</v>
      </c>
      <c r="DF41">
        <f t="shared" si="14"/>
        <v>0</v>
      </c>
      <c r="DG41">
        <f t="shared" si="15"/>
        <v>0</v>
      </c>
      <c r="DH41">
        <f t="shared" si="16"/>
        <v>0</v>
      </c>
      <c r="DI41">
        <f t="shared" si="17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ROW(Source!A495)</f>
        <v>495</v>
      </c>
      <c r="B42">
        <v>1473080740</v>
      </c>
      <c r="C42">
        <v>1473082071</v>
      </c>
      <c r="D42">
        <v>1441836235</v>
      </c>
      <c r="E42">
        <v>1</v>
      </c>
      <c r="F42">
        <v>1</v>
      </c>
      <c r="G42">
        <v>15514512</v>
      </c>
      <c r="H42">
        <v>3</v>
      </c>
      <c r="I42" t="s">
        <v>398</v>
      </c>
      <c r="J42" t="s">
        <v>399</v>
      </c>
      <c r="K42" t="s">
        <v>400</v>
      </c>
      <c r="L42">
        <v>1346</v>
      </c>
      <c r="N42">
        <v>1009</v>
      </c>
      <c r="O42" t="s">
        <v>401</v>
      </c>
      <c r="P42" t="s">
        <v>401</v>
      </c>
      <c r="Q42">
        <v>1</v>
      </c>
      <c r="W42">
        <v>0</v>
      </c>
      <c r="X42">
        <v>-1595335418</v>
      </c>
      <c r="Y42">
        <f>(AT42*4)</f>
        <v>0.2</v>
      </c>
      <c r="AA42">
        <v>31.49</v>
      </c>
      <c r="AB42">
        <v>0</v>
      </c>
      <c r="AC42">
        <v>0</v>
      </c>
      <c r="AD42">
        <v>0</v>
      </c>
      <c r="AE42">
        <v>31.49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0.05</v>
      </c>
      <c r="AU42" t="s">
        <v>28</v>
      </c>
      <c r="AV42">
        <v>0</v>
      </c>
      <c r="AW42">
        <v>2</v>
      </c>
      <c r="AX42">
        <v>1473082075</v>
      </c>
      <c r="AY42">
        <v>1</v>
      </c>
      <c r="AZ42">
        <v>0</v>
      </c>
      <c r="BA42">
        <v>105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ROUND(Y42*Source!I495,9)</f>
        <v>0.2</v>
      </c>
      <c r="CY42">
        <f>AA42</f>
        <v>31.49</v>
      </c>
      <c r="CZ42">
        <f>AE42</f>
        <v>31.49</v>
      </c>
      <c r="DA42">
        <f>AI42</f>
        <v>1</v>
      </c>
      <c r="DB42">
        <f>ROUND((ROUND(AT42*CZ42,2)*4),6)</f>
        <v>6.28</v>
      </c>
      <c r="DC42">
        <f>ROUND((ROUND(AT42*AG42,2)*4),6)</f>
        <v>0</v>
      </c>
      <c r="DD42" t="s">
        <v>3</v>
      </c>
      <c r="DE42" t="s">
        <v>3</v>
      </c>
      <c r="DF42">
        <f t="shared" si="14"/>
        <v>6.3</v>
      </c>
      <c r="DG42">
        <f t="shared" si="15"/>
        <v>0</v>
      </c>
      <c r="DH42">
        <f t="shared" si="16"/>
        <v>0</v>
      </c>
      <c r="DI42">
        <f t="shared" si="17"/>
        <v>0</v>
      </c>
      <c r="DJ42">
        <f>DF42</f>
        <v>6.3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ROW(Source!A501)</f>
        <v>501</v>
      </c>
      <c r="B43">
        <v>1473080740</v>
      </c>
      <c r="C43">
        <v>1473082092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391</v>
      </c>
      <c r="J43" t="s">
        <v>3</v>
      </c>
      <c r="K43" t="s">
        <v>392</v>
      </c>
      <c r="L43">
        <v>1191</v>
      </c>
      <c r="N43">
        <v>1013</v>
      </c>
      <c r="O43" t="s">
        <v>393</v>
      </c>
      <c r="P43" t="s">
        <v>393</v>
      </c>
      <c r="Q43">
        <v>1</v>
      </c>
      <c r="W43">
        <v>0</v>
      </c>
      <c r="X43">
        <v>476480486</v>
      </c>
      <c r="Y43">
        <f>(AT43*118)</f>
        <v>8.2600000000000016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7.0000000000000007E-2</v>
      </c>
      <c r="AU43" t="s">
        <v>209</v>
      </c>
      <c r="AV43">
        <v>1</v>
      </c>
      <c r="AW43">
        <v>2</v>
      </c>
      <c r="AX43">
        <v>1473082094</v>
      </c>
      <c r="AY43">
        <v>1</v>
      </c>
      <c r="AZ43">
        <v>0</v>
      </c>
      <c r="BA43">
        <v>117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ROUND(AT43*Source!I501*AH43*AL43,2)</f>
        <v>0</v>
      </c>
      <c r="CV43">
        <f>ROUND(Y43*Source!I501,9)</f>
        <v>8.26</v>
      </c>
      <c r="CW43">
        <v>0</v>
      </c>
      <c r="CX43">
        <f>ROUND(Y43*Source!I501,9)</f>
        <v>8.26</v>
      </c>
      <c r="CY43">
        <f>AD43</f>
        <v>0</v>
      </c>
      <c r="CZ43">
        <f>AH43</f>
        <v>0</v>
      </c>
      <c r="DA43">
        <f>AL43</f>
        <v>1</v>
      </c>
      <c r="DB43">
        <f>ROUND((ROUND(AT43*CZ43,2)*118),6)</f>
        <v>0</v>
      </c>
      <c r="DC43">
        <f>ROUND((ROUND(AT43*AG43,2)*118),6)</f>
        <v>0</v>
      </c>
      <c r="DD43" t="s">
        <v>3</v>
      </c>
      <c r="DE43" t="s">
        <v>3</v>
      </c>
      <c r="DF43">
        <f t="shared" si="14"/>
        <v>0</v>
      </c>
      <c r="DG43">
        <f t="shared" si="15"/>
        <v>0</v>
      </c>
      <c r="DH43">
        <f t="shared" si="16"/>
        <v>0</v>
      </c>
      <c r="DI43">
        <f t="shared" si="17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ROW(Source!A502)</f>
        <v>502</v>
      </c>
      <c r="B44">
        <v>1473080740</v>
      </c>
      <c r="C44">
        <v>1473082095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391</v>
      </c>
      <c r="J44" t="s">
        <v>3</v>
      </c>
      <c r="K44" t="s">
        <v>392</v>
      </c>
      <c r="L44">
        <v>1191</v>
      </c>
      <c r="N44">
        <v>1013</v>
      </c>
      <c r="O44" t="s">
        <v>393</v>
      </c>
      <c r="P44" t="s">
        <v>393</v>
      </c>
      <c r="Q44">
        <v>1</v>
      </c>
      <c r="W44">
        <v>0</v>
      </c>
      <c r="X44">
        <v>476480486</v>
      </c>
      <c r="Y44">
        <f>(AT44*3)</f>
        <v>0.51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0.17</v>
      </c>
      <c r="AU44" t="s">
        <v>163</v>
      </c>
      <c r="AV44">
        <v>1</v>
      </c>
      <c r="AW44">
        <v>2</v>
      </c>
      <c r="AX44">
        <v>1473082098</v>
      </c>
      <c r="AY44">
        <v>1</v>
      </c>
      <c r="AZ44">
        <v>0</v>
      </c>
      <c r="BA44">
        <v>118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ROUND(AT44*Source!I502*AH44*AL44,2)</f>
        <v>0</v>
      </c>
      <c r="CV44">
        <f>ROUND(Y44*Source!I502,9)</f>
        <v>0.51</v>
      </c>
      <c r="CW44">
        <v>0</v>
      </c>
      <c r="CX44">
        <f>ROUND(Y44*Source!I502,9)</f>
        <v>0.51</v>
      </c>
      <c r="CY44">
        <f>AD44</f>
        <v>0</v>
      </c>
      <c r="CZ44">
        <f>AH44</f>
        <v>0</v>
      </c>
      <c r="DA44">
        <f>AL44</f>
        <v>1</v>
      </c>
      <c r="DB44">
        <f>ROUND((ROUND(AT44*CZ44,2)*3),6)</f>
        <v>0</v>
      </c>
      <c r="DC44">
        <f>ROUND((ROUND(AT44*AG44,2)*3),6)</f>
        <v>0</v>
      </c>
      <c r="DD44" t="s">
        <v>3</v>
      </c>
      <c r="DE44" t="s">
        <v>3</v>
      </c>
      <c r="DF44">
        <f t="shared" si="14"/>
        <v>0</v>
      </c>
      <c r="DG44">
        <f t="shared" si="15"/>
        <v>0</v>
      </c>
      <c r="DH44">
        <f t="shared" si="16"/>
        <v>0</v>
      </c>
      <c r="DI44">
        <f t="shared" si="17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ROW(Source!A502)</f>
        <v>502</v>
      </c>
      <c r="B45">
        <v>1473080740</v>
      </c>
      <c r="C45">
        <v>1473082095</v>
      </c>
      <c r="D45">
        <v>1441836235</v>
      </c>
      <c r="E45">
        <v>1</v>
      </c>
      <c r="F45">
        <v>1</v>
      </c>
      <c r="G45">
        <v>15514512</v>
      </c>
      <c r="H45">
        <v>3</v>
      </c>
      <c r="I45" t="s">
        <v>398</v>
      </c>
      <c r="J45" t="s">
        <v>399</v>
      </c>
      <c r="K45" t="s">
        <v>400</v>
      </c>
      <c r="L45">
        <v>1346</v>
      </c>
      <c r="N45">
        <v>1009</v>
      </c>
      <c r="O45" t="s">
        <v>401</v>
      </c>
      <c r="P45" t="s">
        <v>401</v>
      </c>
      <c r="Q45">
        <v>1</v>
      </c>
      <c r="W45">
        <v>0</v>
      </c>
      <c r="X45">
        <v>-1595335418</v>
      </c>
      <c r="Y45">
        <f>(AT45*3)</f>
        <v>0.15000000000000002</v>
      </c>
      <c r="AA45">
        <v>31.49</v>
      </c>
      <c r="AB45">
        <v>0</v>
      </c>
      <c r="AC45">
        <v>0</v>
      </c>
      <c r="AD45">
        <v>0</v>
      </c>
      <c r="AE45">
        <v>31.49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0.05</v>
      </c>
      <c r="AU45" t="s">
        <v>163</v>
      </c>
      <c r="AV45">
        <v>0</v>
      </c>
      <c r="AW45">
        <v>2</v>
      </c>
      <c r="AX45">
        <v>1473082099</v>
      </c>
      <c r="AY45">
        <v>1</v>
      </c>
      <c r="AZ45">
        <v>0</v>
      </c>
      <c r="BA45">
        <v>119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ROUND(Y45*Source!I502,9)</f>
        <v>0.15</v>
      </c>
      <c r="CY45">
        <f>AA45</f>
        <v>31.49</v>
      </c>
      <c r="CZ45">
        <f>AE45</f>
        <v>31.49</v>
      </c>
      <c r="DA45">
        <f>AI45</f>
        <v>1</v>
      </c>
      <c r="DB45">
        <f>ROUND((ROUND(AT45*CZ45,2)*3),6)</f>
        <v>4.71</v>
      </c>
      <c r="DC45">
        <f>ROUND((ROUND(AT45*AG45,2)*3),6)</f>
        <v>0</v>
      </c>
      <c r="DD45" t="s">
        <v>3</v>
      </c>
      <c r="DE45" t="s">
        <v>3</v>
      </c>
      <c r="DF45">
        <f t="shared" si="14"/>
        <v>4.72</v>
      </c>
      <c r="DG45">
        <f t="shared" si="15"/>
        <v>0</v>
      </c>
      <c r="DH45">
        <f t="shared" si="16"/>
        <v>0</v>
      </c>
      <c r="DI45">
        <f t="shared" si="17"/>
        <v>0</v>
      </c>
      <c r="DJ45">
        <f>DF45</f>
        <v>4.72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ROW(Source!A503)</f>
        <v>503</v>
      </c>
      <c r="B46">
        <v>1473080740</v>
      </c>
      <c r="C46">
        <v>1473082100</v>
      </c>
      <c r="D46">
        <v>1441819193</v>
      </c>
      <c r="E46">
        <v>15514512</v>
      </c>
      <c r="F46">
        <v>1</v>
      </c>
      <c r="G46">
        <v>15514512</v>
      </c>
      <c r="H46">
        <v>1</v>
      </c>
      <c r="I46" t="s">
        <v>391</v>
      </c>
      <c r="J46" t="s">
        <v>3</v>
      </c>
      <c r="K46" t="s">
        <v>392</v>
      </c>
      <c r="L46">
        <v>1191</v>
      </c>
      <c r="N46">
        <v>1013</v>
      </c>
      <c r="O46" t="s">
        <v>393</v>
      </c>
      <c r="P46" t="s">
        <v>393</v>
      </c>
      <c r="Q46">
        <v>1</v>
      </c>
      <c r="W46">
        <v>0</v>
      </c>
      <c r="X46">
        <v>476480486</v>
      </c>
      <c r="Y46">
        <f>AT46</f>
        <v>0.5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0.5</v>
      </c>
      <c r="AU46" t="s">
        <v>3</v>
      </c>
      <c r="AV46">
        <v>1</v>
      </c>
      <c r="AW46">
        <v>2</v>
      </c>
      <c r="AX46">
        <v>1473082104</v>
      </c>
      <c r="AY46">
        <v>1</v>
      </c>
      <c r="AZ46">
        <v>0</v>
      </c>
      <c r="BA46">
        <v>120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U46">
        <f>ROUND(AT46*Source!I503*AH46*AL46,2)</f>
        <v>0</v>
      </c>
      <c r="CV46">
        <f>ROUND(Y46*Source!I503,9)</f>
        <v>0.5</v>
      </c>
      <c r="CW46">
        <v>0</v>
      </c>
      <c r="CX46">
        <f>ROUND(Y46*Source!I503,9)</f>
        <v>0.5</v>
      </c>
      <c r="CY46">
        <f>AD46</f>
        <v>0</v>
      </c>
      <c r="CZ46">
        <f>AH46</f>
        <v>0</v>
      </c>
      <c r="DA46">
        <f>AL46</f>
        <v>1</v>
      </c>
      <c r="DB46">
        <f>ROUND(ROUND(AT46*CZ46,2),6)</f>
        <v>0</v>
      </c>
      <c r="DC46">
        <f>ROUND(ROUND(AT46*AG46,2),6)</f>
        <v>0</v>
      </c>
      <c r="DD46" t="s">
        <v>3</v>
      </c>
      <c r="DE46" t="s">
        <v>3</v>
      </c>
      <c r="DF46">
        <f t="shared" si="14"/>
        <v>0</v>
      </c>
      <c r="DG46">
        <f t="shared" si="15"/>
        <v>0</v>
      </c>
      <c r="DH46">
        <f t="shared" si="16"/>
        <v>0</v>
      </c>
      <c r="DI46">
        <f t="shared" si="17"/>
        <v>0</v>
      </c>
      <c r="DJ46">
        <f>DI46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ROW(Source!A503)</f>
        <v>503</v>
      </c>
      <c r="B47">
        <v>1473080740</v>
      </c>
      <c r="C47">
        <v>1473082100</v>
      </c>
      <c r="D47">
        <v>1441834258</v>
      </c>
      <c r="E47">
        <v>1</v>
      </c>
      <c r="F47">
        <v>1</v>
      </c>
      <c r="G47">
        <v>15514512</v>
      </c>
      <c r="H47">
        <v>2</v>
      </c>
      <c r="I47" t="s">
        <v>394</v>
      </c>
      <c r="J47" t="s">
        <v>395</v>
      </c>
      <c r="K47" t="s">
        <v>396</v>
      </c>
      <c r="L47">
        <v>1368</v>
      </c>
      <c r="N47">
        <v>1011</v>
      </c>
      <c r="O47" t="s">
        <v>397</v>
      </c>
      <c r="P47" t="s">
        <v>397</v>
      </c>
      <c r="Q47">
        <v>1</v>
      </c>
      <c r="W47">
        <v>0</v>
      </c>
      <c r="X47">
        <v>1077756263</v>
      </c>
      <c r="Y47">
        <f>AT47</f>
        <v>0.03</v>
      </c>
      <c r="AA47">
        <v>0</v>
      </c>
      <c r="AB47">
        <v>1303.01</v>
      </c>
      <c r="AC47">
        <v>826.2</v>
      </c>
      <c r="AD47">
        <v>0</v>
      </c>
      <c r="AE47">
        <v>0</v>
      </c>
      <c r="AF47">
        <v>1303.01</v>
      </c>
      <c r="AG47">
        <v>826.2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0.03</v>
      </c>
      <c r="AU47" t="s">
        <v>3</v>
      </c>
      <c r="AV47">
        <v>0</v>
      </c>
      <c r="AW47">
        <v>2</v>
      </c>
      <c r="AX47">
        <v>1473082105</v>
      </c>
      <c r="AY47">
        <v>1</v>
      </c>
      <c r="AZ47">
        <v>0</v>
      </c>
      <c r="BA47">
        <v>121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f>ROUND(Y47*Source!I503*DO47,9)</f>
        <v>0</v>
      </c>
      <c r="CX47">
        <f>ROUND(Y47*Source!I503,9)</f>
        <v>0.03</v>
      </c>
      <c r="CY47">
        <f>AB47</f>
        <v>1303.01</v>
      </c>
      <c r="CZ47">
        <f>AF47</f>
        <v>1303.01</v>
      </c>
      <c r="DA47">
        <f>AJ47</f>
        <v>1</v>
      </c>
      <c r="DB47">
        <f>ROUND(ROUND(AT47*CZ47,2),6)</f>
        <v>39.090000000000003</v>
      </c>
      <c r="DC47">
        <f>ROUND(ROUND(AT47*AG47,2),6)</f>
        <v>24.79</v>
      </c>
      <c r="DD47" t="s">
        <v>3</v>
      </c>
      <c r="DE47" t="s">
        <v>3</v>
      </c>
      <c r="DF47">
        <f t="shared" si="14"/>
        <v>0</v>
      </c>
      <c r="DG47">
        <f t="shared" si="15"/>
        <v>39.090000000000003</v>
      </c>
      <c r="DH47">
        <f t="shared" si="16"/>
        <v>24.79</v>
      </c>
      <c r="DI47">
        <f t="shared" si="17"/>
        <v>0</v>
      </c>
      <c r="DJ47">
        <f>DG47</f>
        <v>39.090000000000003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ROW(Source!A503)</f>
        <v>503</v>
      </c>
      <c r="B48">
        <v>1473080740</v>
      </c>
      <c r="C48">
        <v>1473082100</v>
      </c>
      <c r="D48">
        <v>1441836235</v>
      </c>
      <c r="E48">
        <v>1</v>
      </c>
      <c r="F48">
        <v>1</v>
      </c>
      <c r="G48">
        <v>15514512</v>
      </c>
      <c r="H48">
        <v>3</v>
      </c>
      <c r="I48" t="s">
        <v>398</v>
      </c>
      <c r="J48" t="s">
        <v>399</v>
      </c>
      <c r="K48" t="s">
        <v>400</v>
      </c>
      <c r="L48">
        <v>1346</v>
      </c>
      <c r="N48">
        <v>1009</v>
      </c>
      <c r="O48" t="s">
        <v>401</v>
      </c>
      <c r="P48" t="s">
        <v>401</v>
      </c>
      <c r="Q48">
        <v>1</v>
      </c>
      <c r="W48">
        <v>0</v>
      </c>
      <c r="X48">
        <v>-1595335418</v>
      </c>
      <c r="Y48">
        <f>AT48</f>
        <v>3.0000000000000001E-3</v>
      </c>
      <c r="AA48">
        <v>31.49</v>
      </c>
      <c r="AB48">
        <v>0</v>
      </c>
      <c r="AC48">
        <v>0</v>
      </c>
      <c r="AD48">
        <v>0</v>
      </c>
      <c r="AE48">
        <v>31.49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3.0000000000000001E-3</v>
      </c>
      <c r="AU48" t="s">
        <v>3</v>
      </c>
      <c r="AV48">
        <v>0</v>
      </c>
      <c r="AW48">
        <v>2</v>
      </c>
      <c r="AX48">
        <v>1473082106</v>
      </c>
      <c r="AY48">
        <v>1</v>
      </c>
      <c r="AZ48">
        <v>0</v>
      </c>
      <c r="BA48">
        <v>122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ROUND(Y48*Source!I503,9)</f>
        <v>3.0000000000000001E-3</v>
      </c>
      <c r="CY48">
        <f>AA48</f>
        <v>31.49</v>
      </c>
      <c r="CZ48">
        <f>AE48</f>
        <v>31.49</v>
      </c>
      <c r="DA48">
        <f>AI48</f>
        <v>1</v>
      </c>
      <c r="DB48">
        <f>ROUND(ROUND(AT48*CZ48,2),6)</f>
        <v>0.09</v>
      </c>
      <c r="DC48">
        <f>ROUND(ROUND(AT48*AG48,2),6)</f>
        <v>0</v>
      </c>
      <c r="DD48" t="s">
        <v>3</v>
      </c>
      <c r="DE48" t="s">
        <v>3</v>
      </c>
      <c r="DF48">
        <f t="shared" si="14"/>
        <v>0.09</v>
      </c>
      <c r="DG48">
        <f t="shared" si="15"/>
        <v>0</v>
      </c>
      <c r="DH48">
        <f t="shared" si="16"/>
        <v>0</v>
      </c>
      <c r="DI48">
        <f t="shared" si="17"/>
        <v>0</v>
      </c>
      <c r="DJ48">
        <f>DF48</f>
        <v>0.09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ROW(Source!A509)</f>
        <v>509</v>
      </c>
      <c r="B49">
        <v>1473080740</v>
      </c>
      <c r="C49">
        <v>1473082123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391</v>
      </c>
      <c r="J49" t="s">
        <v>3</v>
      </c>
      <c r="K49" t="s">
        <v>392</v>
      </c>
      <c r="L49">
        <v>1191</v>
      </c>
      <c r="N49">
        <v>1013</v>
      </c>
      <c r="O49" t="s">
        <v>393</v>
      </c>
      <c r="P49" t="s">
        <v>393</v>
      </c>
      <c r="Q49">
        <v>1</v>
      </c>
      <c r="W49">
        <v>0</v>
      </c>
      <c r="X49">
        <v>476480486</v>
      </c>
      <c r="Y49">
        <f>(AT49*4)</f>
        <v>0.68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0.17</v>
      </c>
      <c r="AU49" t="s">
        <v>28</v>
      </c>
      <c r="AV49">
        <v>1</v>
      </c>
      <c r="AW49">
        <v>2</v>
      </c>
      <c r="AX49">
        <v>1473082128</v>
      </c>
      <c r="AY49">
        <v>1</v>
      </c>
      <c r="AZ49">
        <v>0</v>
      </c>
      <c r="BA49">
        <v>134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ROUND(AT49*Source!I509*AH49*AL49,2)</f>
        <v>0</v>
      </c>
      <c r="CV49">
        <f>ROUND(Y49*Source!I509,9)</f>
        <v>0.68</v>
      </c>
      <c r="CW49">
        <v>0</v>
      </c>
      <c r="CX49">
        <f>ROUND(Y49*Source!I509,9)</f>
        <v>0.68</v>
      </c>
      <c r="CY49">
        <f>AD49</f>
        <v>0</v>
      </c>
      <c r="CZ49">
        <f>AH49</f>
        <v>0</v>
      </c>
      <c r="DA49">
        <f>AL49</f>
        <v>1</v>
      </c>
      <c r="DB49">
        <f>ROUND((ROUND(AT49*CZ49,2)*4),6)</f>
        <v>0</v>
      </c>
      <c r="DC49">
        <f>ROUND((ROUND(AT49*AG49,2)*4),6)</f>
        <v>0</v>
      </c>
      <c r="DD49" t="s">
        <v>3</v>
      </c>
      <c r="DE49" t="s">
        <v>3</v>
      </c>
      <c r="DF49">
        <f t="shared" si="14"/>
        <v>0</v>
      </c>
      <c r="DG49">
        <f t="shared" si="15"/>
        <v>0</v>
      </c>
      <c r="DH49">
        <f t="shared" si="16"/>
        <v>0</v>
      </c>
      <c r="DI49">
        <f t="shared" si="17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ROW(Source!A509)</f>
        <v>509</v>
      </c>
      <c r="B50">
        <v>1473080740</v>
      </c>
      <c r="C50">
        <v>1473082123</v>
      </c>
      <c r="D50">
        <v>1441834258</v>
      </c>
      <c r="E50">
        <v>1</v>
      </c>
      <c r="F50">
        <v>1</v>
      </c>
      <c r="G50">
        <v>15514512</v>
      </c>
      <c r="H50">
        <v>2</v>
      </c>
      <c r="I50" t="s">
        <v>394</v>
      </c>
      <c r="J50" t="s">
        <v>395</v>
      </c>
      <c r="K50" t="s">
        <v>396</v>
      </c>
      <c r="L50">
        <v>1368</v>
      </c>
      <c r="N50">
        <v>1011</v>
      </c>
      <c r="O50" t="s">
        <v>397</v>
      </c>
      <c r="P50" t="s">
        <v>397</v>
      </c>
      <c r="Q50">
        <v>1</v>
      </c>
      <c r="W50">
        <v>0</v>
      </c>
      <c r="X50">
        <v>1077756263</v>
      </c>
      <c r="Y50">
        <f>(AT50*4)</f>
        <v>0.04</v>
      </c>
      <c r="AA50">
        <v>0</v>
      </c>
      <c r="AB50">
        <v>1303.01</v>
      </c>
      <c r="AC50">
        <v>826.2</v>
      </c>
      <c r="AD50">
        <v>0</v>
      </c>
      <c r="AE50">
        <v>0</v>
      </c>
      <c r="AF50">
        <v>1303.01</v>
      </c>
      <c r="AG50">
        <v>826.2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0.01</v>
      </c>
      <c r="AU50" t="s">
        <v>28</v>
      </c>
      <c r="AV50">
        <v>0</v>
      </c>
      <c r="AW50">
        <v>2</v>
      </c>
      <c r="AX50">
        <v>1473082129</v>
      </c>
      <c r="AY50">
        <v>1</v>
      </c>
      <c r="AZ50">
        <v>0</v>
      </c>
      <c r="BA50">
        <v>135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f>ROUND(Y50*Source!I509*DO50,9)</f>
        <v>0</v>
      </c>
      <c r="CX50">
        <f>ROUND(Y50*Source!I509,9)</f>
        <v>0.04</v>
      </c>
      <c r="CY50">
        <f>AB50</f>
        <v>1303.01</v>
      </c>
      <c r="CZ50">
        <f>AF50</f>
        <v>1303.01</v>
      </c>
      <c r="DA50">
        <f>AJ50</f>
        <v>1</v>
      </c>
      <c r="DB50">
        <f>ROUND((ROUND(AT50*CZ50,2)*4),6)</f>
        <v>52.12</v>
      </c>
      <c r="DC50">
        <f>ROUND((ROUND(AT50*AG50,2)*4),6)</f>
        <v>33.04</v>
      </c>
      <c r="DD50" t="s">
        <v>3</v>
      </c>
      <c r="DE50" t="s">
        <v>3</v>
      </c>
      <c r="DF50">
        <f t="shared" si="14"/>
        <v>0</v>
      </c>
      <c r="DG50">
        <f t="shared" si="15"/>
        <v>52.12</v>
      </c>
      <c r="DH50">
        <f t="shared" si="16"/>
        <v>33.049999999999997</v>
      </c>
      <c r="DI50">
        <f t="shared" si="17"/>
        <v>0</v>
      </c>
      <c r="DJ50">
        <f>DG50</f>
        <v>52.12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ROW(Source!A509)</f>
        <v>509</v>
      </c>
      <c r="B51">
        <v>1473080740</v>
      </c>
      <c r="C51">
        <v>1473082123</v>
      </c>
      <c r="D51">
        <v>1441836186</v>
      </c>
      <c r="E51">
        <v>1</v>
      </c>
      <c r="F51">
        <v>1</v>
      </c>
      <c r="G51">
        <v>15514512</v>
      </c>
      <c r="H51">
        <v>3</v>
      </c>
      <c r="I51" t="s">
        <v>441</v>
      </c>
      <c r="J51" t="s">
        <v>442</v>
      </c>
      <c r="K51" t="s">
        <v>443</v>
      </c>
      <c r="L51">
        <v>1346</v>
      </c>
      <c r="N51">
        <v>1009</v>
      </c>
      <c r="O51" t="s">
        <v>401</v>
      </c>
      <c r="P51" t="s">
        <v>401</v>
      </c>
      <c r="Q51">
        <v>1</v>
      </c>
      <c r="W51">
        <v>0</v>
      </c>
      <c r="X51">
        <v>1299790764</v>
      </c>
      <c r="Y51">
        <f>(AT51*4)</f>
        <v>0.04</v>
      </c>
      <c r="AA51">
        <v>494.57</v>
      </c>
      <c r="AB51">
        <v>0</v>
      </c>
      <c r="AC51">
        <v>0</v>
      </c>
      <c r="AD51">
        <v>0</v>
      </c>
      <c r="AE51">
        <v>494.57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0.01</v>
      </c>
      <c r="AU51" t="s">
        <v>28</v>
      </c>
      <c r="AV51">
        <v>0</v>
      </c>
      <c r="AW51">
        <v>2</v>
      </c>
      <c r="AX51">
        <v>1473082130</v>
      </c>
      <c r="AY51">
        <v>1</v>
      </c>
      <c r="AZ51">
        <v>0</v>
      </c>
      <c r="BA51">
        <v>136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ROUND(Y51*Source!I509,9)</f>
        <v>0.04</v>
      </c>
      <c r="CY51">
        <f>AA51</f>
        <v>494.57</v>
      </c>
      <c r="CZ51">
        <f>AE51</f>
        <v>494.57</v>
      </c>
      <c r="DA51">
        <f>AI51</f>
        <v>1</v>
      </c>
      <c r="DB51">
        <f>ROUND((ROUND(AT51*CZ51,2)*4),6)</f>
        <v>19.8</v>
      </c>
      <c r="DC51">
        <f>ROUND((ROUND(AT51*AG51,2)*4),6)</f>
        <v>0</v>
      </c>
      <c r="DD51" t="s">
        <v>3</v>
      </c>
      <c r="DE51" t="s">
        <v>3</v>
      </c>
      <c r="DF51">
        <f t="shared" si="14"/>
        <v>19.78</v>
      </c>
      <c r="DG51">
        <f t="shared" si="15"/>
        <v>0</v>
      </c>
      <c r="DH51">
        <f t="shared" si="16"/>
        <v>0</v>
      </c>
      <c r="DI51">
        <f t="shared" si="17"/>
        <v>0</v>
      </c>
      <c r="DJ51">
        <f>DF51</f>
        <v>19.78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ROW(Source!A509)</f>
        <v>509</v>
      </c>
      <c r="B52">
        <v>1473080740</v>
      </c>
      <c r="C52">
        <v>1473082123</v>
      </c>
      <c r="D52">
        <v>1441836230</v>
      </c>
      <c r="E52">
        <v>1</v>
      </c>
      <c r="F52">
        <v>1</v>
      </c>
      <c r="G52">
        <v>15514512</v>
      </c>
      <c r="H52">
        <v>3</v>
      </c>
      <c r="I52" t="s">
        <v>444</v>
      </c>
      <c r="J52" t="s">
        <v>445</v>
      </c>
      <c r="K52" t="s">
        <v>446</v>
      </c>
      <c r="L52">
        <v>1327</v>
      </c>
      <c r="N52">
        <v>1005</v>
      </c>
      <c r="O52" t="s">
        <v>430</v>
      </c>
      <c r="P52" t="s">
        <v>430</v>
      </c>
      <c r="Q52">
        <v>1</v>
      </c>
      <c r="W52">
        <v>0</v>
      </c>
      <c r="X52">
        <v>-843547561</v>
      </c>
      <c r="Y52">
        <f>(AT52*4)</f>
        <v>0.08</v>
      </c>
      <c r="AA52">
        <v>46</v>
      </c>
      <c r="AB52">
        <v>0</v>
      </c>
      <c r="AC52">
        <v>0</v>
      </c>
      <c r="AD52">
        <v>0</v>
      </c>
      <c r="AE52">
        <v>46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0.02</v>
      </c>
      <c r="AU52" t="s">
        <v>28</v>
      </c>
      <c r="AV52">
        <v>0</v>
      </c>
      <c r="AW52">
        <v>2</v>
      </c>
      <c r="AX52">
        <v>1473082131</v>
      </c>
      <c r="AY52">
        <v>1</v>
      </c>
      <c r="AZ52">
        <v>0</v>
      </c>
      <c r="BA52">
        <v>137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ROUND(Y52*Source!I509,9)</f>
        <v>0.08</v>
      </c>
      <c r="CY52">
        <f>AA52</f>
        <v>46</v>
      </c>
      <c r="CZ52">
        <f>AE52</f>
        <v>46</v>
      </c>
      <c r="DA52">
        <f>AI52</f>
        <v>1</v>
      </c>
      <c r="DB52">
        <f>ROUND((ROUND(AT52*CZ52,2)*4),6)</f>
        <v>3.68</v>
      </c>
      <c r="DC52">
        <f>ROUND((ROUND(AT52*AG52,2)*4),6)</f>
        <v>0</v>
      </c>
      <c r="DD52" t="s">
        <v>3</v>
      </c>
      <c r="DE52" t="s">
        <v>3</v>
      </c>
      <c r="DF52">
        <f t="shared" si="14"/>
        <v>3.68</v>
      </c>
      <c r="DG52">
        <f t="shared" si="15"/>
        <v>0</v>
      </c>
      <c r="DH52">
        <f t="shared" si="16"/>
        <v>0</v>
      </c>
      <c r="DI52">
        <f t="shared" si="17"/>
        <v>0</v>
      </c>
      <c r="DJ52">
        <f>DF52</f>
        <v>3.68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ROW(Source!A510)</f>
        <v>510</v>
      </c>
      <c r="B53">
        <v>1473080740</v>
      </c>
      <c r="C53">
        <v>1473082132</v>
      </c>
      <c r="D53">
        <v>1441819193</v>
      </c>
      <c r="E53">
        <v>15514512</v>
      </c>
      <c r="F53">
        <v>1</v>
      </c>
      <c r="G53">
        <v>15514512</v>
      </c>
      <c r="H53">
        <v>1</v>
      </c>
      <c r="I53" t="s">
        <v>391</v>
      </c>
      <c r="J53" t="s">
        <v>3</v>
      </c>
      <c r="K53" t="s">
        <v>392</v>
      </c>
      <c r="L53">
        <v>1191</v>
      </c>
      <c r="N53">
        <v>1013</v>
      </c>
      <c r="O53" t="s">
        <v>393</v>
      </c>
      <c r="P53" t="s">
        <v>393</v>
      </c>
      <c r="Q53">
        <v>1</v>
      </c>
      <c r="W53">
        <v>0</v>
      </c>
      <c r="X53">
        <v>476480486</v>
      </c>
      <c r="Y53">
        <f>(AT53*2)</f>
        <v>0.6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0.3</v>
      </c>
      <c r="AU53" t="s">
        <v>181</v>
      </c>
      <c r="AV53">
        <v>1</v>
      </c>
      <c r="AW53">
        <v>2</v>
      </c>
      <c r="AX53">
        <v>1473082136</v>
      </c>
      <c r="AY53">
        <v>1</v>
      </c>
      <c r="AZ53">
        <v>0</v>
      </c>
      <c r="BA53">
        <v>138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ROUND(AT53*Source!I510*AH53*AL53,2)</f>
        <v>0</v>
      </c>
      <c r="CV53">
        <f>ROUND(Y53*Source!I510,9)</f>
        <v>9</v>
      </c>
      <c r="CW53">
        <v>0</v>
      </c>
      <c r="CX53">
        <f>ROUND(Y53*Source!I510,9)</f>
        <v>9</v>
      </c>
      <c r="CY53">
        <f>AD53</f>
        <v>0</v>
      </c>
      <c r="CZ53">
        <f>AH53</f>
        <v>0</v>
      </c>
      <c r="DA53">
        <f>AL53</f>
        <v>1</v>
      </c>
      <c r="DB53">
        <f>ROUND((ROUND(AT53*CZ53,2)*2),6)</f>
        <v>0</v>
      </c>
      <c r="DC53">
        <f>ROUND((ROUND(AT53*AG53,2)*2),6)</f>
        <v>0</v>
      </c>
      <c r="DD53" t="s">
        <v>3</v>
      </c>
      <c r="DE53" t="s">
        <v>3</v>
      </c>
      <c r="DF53">
        <f t="shared" si="14"/>
        <v>0</v>
      </c>
      <c r="DG53">
        <f t="shared" si="15"/>
        <v>0</v>
      </c>
      <c r="DH53">
        <f t="shared" si="16"/>
        <v>0</v>
      </c>
      <c r="DI53">
        <f t="shared" si="17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ROW(Source!A510)</f>
        <v>510</v>
      </c>
      <c r="B54">
        <v>1473080740</v>
      </c>
      <c r="C54">
        <v>1473082132</v>
      </c>
      <c r="D54">
        <v>1441836235</v>
      </c>
      <c r="E54">
        <v>1</v>
      </c>
      <c r="F54">
        <v>1</v>
      </c>
      <c r="G54">
        <v>15514512</v>
      </c>
      <c r="H54">
        <v>3</v>
      </c>
      <c r="I54" t="s">
        <v>398</v>
      </c>
      <c r="J54" t="s">
        <v>399</v>
      </c>
      <c r="K54" t="s">
        <v>400</v>
      </c>
      <c r="L54">
        <v>1346</v>
      </c>
      <c r="N54">
        <v>1009</v>
      </c>
      <c r="O54" t="s">
        <v>401</v>
      </c>
      <c r="P54" t="s">
        <v>401</v>
      </c>
      <c r="Q54">
        <v>1</v>
      </c>
      <c r="W54">
        <v>0</v>
      </c>
      <c r="X54">
        <v>-1595335418</v>
      </c>
      <c r="Y54">
        <f>(AT54*2)</f>
        <v>0.1</v>
      </c>
      <c r="AA54">
        <v>31.49</v>
      </c>
      <c r="AB54">
        <v>0</v>
      </c>
      <c r="AC54">
        <v>0</v>
      </c>
      <c r="AD54">
        <v>0</v>
      </c>
      <c r="AE54">
        <v>31.49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0.05</v>
      </c>
      <c r="AU54" t="s">
        <v>181</v>
      </c>
      <c r="AV54">
        <v>0</v>
      </c>
      <c r="AW54">
        <v>2</v>
      </c>
      <c r="AX54">
        <v>1473082137</v>
      </c>
      <c r="AY54">
        <v>1</v>
      </c>
      <c r="AZ54">
        <v>0</v>
      </c>
      <c r="BA54">
        <v>139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ROUND(Y54*Source!I510,9)</f>
        <v>1.5</v>
      </c>
      <c r="CY54">
        <f>AA54</f>
        <v>31.49</v>
      </c>
      <c r="CZ54">
        <f>AE54</f>
        <v>31.49</v>
      </c>
      <c r="DA54">
        <f>AI54</f>
        <v>1</v>
      </c>
      <c r="DB54">
        <f>ROUND((ROUND(AT54*CZ54,2)*2),6)</f>
        <v>3.14</v>
      </c>
      <c r="DC54">
        <f>ROUND((ROUND(AT54*AG54,2)*2),6)</f>
        <v>0</v>
      </c>
      <c r="DD54" t="s">
        <v>3</v>
      </c>
      <c r="DE54" t="s">
        <v>3</v>
      </c>
      <c r="DF54">
        <f t="shared" si="14"/>
        <v>47.24</v>
      </c>
      <c r="DG54">
        <f t="shared" si="15"/>
        <v>0</v>
      </c>
      <c r="DH54">
        <f t="shared" si="16"/>
        <v>0</v>
      </c>
      <c r="DI54">
        <f t="shared" si="17"/>
        <v>0</v>
      </c>
      <c r="DJ54">
        <f>DF54</f>
        <v>47.24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ROW(Source!A510)</f>
        <v>510</v>
      </c>
      <c r="B55">
        <v>1473080740</v>
      </c>
      <c r="C55">
        <v>1473082132</v>
      </c>
      <c r="D55">
        <v>1441834628</v>
      </c>
      <c r="E55">
        <v>1</v>
      </c>
      <c r="F55">
        <v>1</v>
      </c>
      <c r="G55">
        <v>15514512</v>
      </c>
      <c r="H55">
        <v>3</v>
      </c>
      <c r="I55" t="s">
        <v>447</v>
      </c>
      <c r="J55" t="s">
        <v>448</v>
      </c>
      <c r="K55" t="s">
        <v>449</v>
      </c>
      <c r="L55">
        <v>1348</v>
      </c>
      <c r="N55">
        <v>1009</v>
      </c>
      <c r="O55" t="s">
        <v>412</v>
      </c>
      <c r="P55" t="s">
        <v>412</v>
      </c>
      <c r="Q55">
        <v>1000</v>
      </c>
      <c r="W55">
        <v>0</v>
      </c>
      <c r="X55">
        <v>779500846</v>
      </c>
      <c r="Y55">
        <f>(AT55*2)</f>
        <v>8.0000000000000007E-5</v>
      </c>
      <c r="AA55">
        <v>73951.73</v>
      </c>
      <c r="AB55">
        <v>0</v>
      </c>
      <c r="AC55">
        <v>0</v>
      </c>
      <c r="AD55">
        <v>0</v>
      </c>
      <c r="AE55">
        <v>73951.73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4.0000000000000003E-5</v>
      </c>
      <c r="AU55" t="s">
        <v>181</v>
      </c>
      <c r="AV55">
        <v>0</v>
      </c>
      <c r="AW55">
        <v>2</v>
      </c>
      <c r="AX55">
        <v>1473082138</v>
      </c>
      <c r="AY55">
        <v>1</v>
      </c>
      <c r="AZ55">
        <v>0</v>
      </c>
      <c r="BA55">
        <v>140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ROUND(Y55*Source!I510,9)</f>
        <v>1.1999999999999999E-3</v>
      </c>
      <c r="CY55">
        <f>AA55</f>
        <v>73951.73</v>
      </c>
      <c r="CZ55">
        <f>AE55</f>
        <v>73951.73</v>
      </c>
      <c r="DA55">
        <f>AI55</f>
        <v>1</v>
      </c>
      <c r="DB55">
        <f>ROUND((ROUND(AT55*CZ55,2)*2),6)</f>
        <v>5.92</v>
      </c>
      <c r="DC55">
        <f>ROUND((ROUND(AT55*AG55,2)*2),6)</f>
        <v>0</v>
      </c>
      <c r="DD55" t="s">
        <v>3</v>
      </c>
      <c r="DE55" t="s">
        <v>3</v>
      </c>
      <c r="DF55">
        <f t="shared" si="14"/>
        <v>88.74</v>
      </c>
      <c r="DG55">
        <f t="shared" si="15"/>
        <v>0</v>
      </c>
      <c r="DH55">
        <f t="shared" si="16"/>
        <v>0</v>
      </c>
      <c r="DI55">
        <f t="shared" si="17"/>
        <v>0</v>
      </c>
      <c r="DJ55">
        <f>DF55</f>
        <v>88.74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ROW(Source!A511)</f>
        <v>511</v>
      </c>
      <c r="B56">
        <v>1473080740</v>
      </c>
      <c r="C56">
        <v>1473082139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391</v>
      </c>
      <c r="J56" t="s">
        <v>3</v>
      </c>
      <c r="K56" t="s">
        <v>392</v>
      </c>
      <c r="L56">
        <v>1191</v>
      </c>
      <c r="N56">
        <v>1013</v>
      </c>
      <c r="O56" t="s">
        <v>393</v>
      </c>
      <c r="P56" t="s">
        <v>393</v>
      </c>
      <c r="Q56">
        <v>1</v>
      </c>
      <c r="W56">
        <v>0</v>
      </c>
      <c r="X56">
        <v>476480486</v>
      </c>
      <c r="Y56">
        <f>(AT56*4)</f>
        <v>0.68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0.17</v>
      </c>
      <c r="AU56" t="s">
        <v>28</v>
      </c>
      <c r="AV56">
        <v>1</v>
      </c>
      <c r="AW56">
        <v>2</v>
      </c>
      <c r="AX56">
        <v>1473082144</v>
      </c>
      <c r="AY56">
        <v>1</v>
      </c>
      <c r="AZ56">
        <v>0</v>
      </c>
      <c r="BA56">
        <v>141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ROUND(AT56*Source!I511*AH56*AL56,2)</f>
        <v>0</v>
      </c>
      <c r="CV56">
        <f>ROUND(Y56*Source!I511,9)</f>
        <v>0.68</v>
      </c>
      <c r="CW56">
        <v>0</v>
      </c>
      <c r="CX56">
        <f>ROUND(Y56*Source!I511,9)</f>
        <v>0.68</v>
      </c>
      <c r="CY56">
        <f>AD56</f>
        <v>0</v>
      </c>
      <c r="CZ56">
        <f>AH56</f>
        <v>0</v>
      </c>
      <c r="DA56">
        <f>AL56</f>
        <v>1</v>
      </c>
      <c r="DB56">
        <f>ROUND((ROUND(AT56*CZ56,2)*4),6)</f>
        <v>0</v>
      </c>
      <c r="DC56">
        <f>ROUND((ROUND(AT56*AG56,2)*4),6)</f>
        <v>0</v>
      </c>
      <c r="DD56" t="s">
        <v>3</v>
      </c>
      <c r="DE56" t="s">
        <v>3</v>
      </c>
      <c r="DF56">
        <f t="shared" si="14"/>
        <v>0</v>
      </c>
      <c r="DG56">
        <f t="shared" si="15"/>
        <v>0</v>
      </c>
      <c r="DH56">
        <f t="shared" si="16"/>
        <v>0</v>
      </c>
      <c r="DI56">
        <f t="shared" si="17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ROW(Source!A511)</f>
        <v>511</v>
      </c>
      <c r="B57">
        <v>1473080740</v>
      </c>
      <c r="C57">
        <v>1473082139</v>
      </c>
      <c r="D57">
        <v>1441834258</v>
      </c>
      <c r="E57">
        <v>1</v>
      </c>
      <c r="F57">
        <v>1</v>
      </c>
      <c r="G57">
        <v>15514512</v>
      </c>
      <c r="H57">
        <v>2</v>
      </c>
      <c r="I57" t="s">
        <v>394</v>
      </c>
      <c r="J57" t="s">
        <v>395</v>
      </c>
      <c r="K57" t="s">
        <v>396</v>
      </c>
      <c r="L57">
        <v>1368</v>
      </c>
      <c r="N57">
        <v>1011</v>
      </c>
      <c r="O57" t="s">
        <v>397</v>
      </c>
      <c r="P57" t="s">
        <v>397</v>
      </c>
      <c r="Q57">
        <v>1</v>
      </c>
      <c r="W57">
        <v>0</v>
      </c>
      <c r="X57">
        <v>1077756263</v>
      </c>
      <c r="Y57">
        <f>(AT57*4)</f>
        <v>0.04</v>
      </c>
      <c r="AA57">
        <v>0</v>
      </c>
      <c r="AB57">
        <v>1303.01</v>
      </c>
      <c r="AC57">
        <v>826.2</v>
      </c>
      <c r="AD57">
        <v>0</v>
      </c>
      <c r="AE57">
        <v>0</v>
      </c>
      <c r="AF57">
        <v>1303.01</v>
      </c>
      <c r="AG57">
        <v>826.2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0.01</v>
      </c>
      <c r="AU57" t="s">
        <v>28</v>
      </c>
      <c r="AV57">
        <v>0</v>
      </c>
      <c r="AW57">
        <v>2</v>
      </c>
      <c r="AX57">
        <v>1473082145</v>
      </c>
      <c r="AY57">
        <v>1</v>
      </c>
      <c r="AZ57">
        <v>0</v>
      </c>
      <c r="BA57">
        <v>142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f>ROUND(Y57*Source!I511*DO57,9)</f>
        <v>0</v>
      </c>
      <c r="CX57">
        <f>ROUND(Y57*Source!I511,9)</f>
        <v>0.04</v>
      </c>
      <c r="CY57">
        <f>AB57</f>
        <v>1303.01</v>
      </c>
      <c r="CZ57">
        <f>AF57</f>
        <v>1303.01</v>
      </c>
      <c r="DA57">
        <f>AJ57</f>
        <v>1</v>
      </c>
      <c r="DB57">
        <f>ROUND((ROUND(AT57*CZ57,2)*4),6)</f>
        <v>52.12</v>
      </c>
      <c r="DC57">
        <f>ROUND((ROUND(AT57*AG57,2)*4),6)</f>
        <v>33.04</v>
      </c>
      <c r="DD57" t="s">
        <v>3</v>
      </c>
      <c r="DE57" t="s">
        <v>3</v>
      </c>
      <c r="DF57">
        <f t="shared" si="14"/>
        <v>0</v>
      </c>
      <c r="DG57">
        <f t="shared" si="15"/>
        <v>52.12</v>
      </c>
      <c r="DH57">
        <f t="shared" si="16"/>
        <v>33.049999999999997</v>
      </c>
      <c r="DI57">
        <f t="shared" si="17"/>
        <v>0</v>
      </c>
      <c r="DJ57">
        <f>DG57</f>
        <v>52.12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ROW(Source!A511)</f>
        <v>511</v>
      </c>
      <c r="B58">
        <v>1473080740</v>
      </c>
      <c r="C58">
        <v>1473082139</v>
      </c>
      <c r="D58">
        <v>1441836186</v>
      </c>
      <c r="E58">
        <v>1</v>
      </c>
      <c r="F58">
        <v>1</v>
      </c>
      <c r="G58">
        <v>15514512</v>
      </c>
      <c r="H58">
        <v>3</v>
      </c>
      <c r="I58" t="s">
        <v>441</v>
      </c>
      <c r="J58" t="s">
        <v>442</v>
      </c>
      <c r="K58" t="s">
        <v>443</v>
      </c>
      <c r="L58">
        <v>1346</v>
      </c>
      <c r="N58">
        <v>1009</v>
      </c>
      <c r="O58" t="s">
        <v>401</v>
      </c>
      <c r="P58" t="s">
        <v>401</v>
      </c>
      <c r="Q58">
        <v>1</v>
      </c>
      <c r="W58">
        <v>0</v>
      </c>
      <c r="X58">
        <v>1299790764</v>
      </c>
      <c r="Y58">
        <f>(AT58*4)</f>
        <v>0.04</v>
      </c>
      <c r="AA58">
        <v>494.57</v>
      </c>
      <c r="AB58">
        <v>0</v>
      </c>
      <c r="AC58">
        <v>0</v>
      </c>
      <c r="AD58">
        <v>0</v>
      </c>
      <c r="AE58">
        <v>494.57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0.01</v>
      </c>
      <c r="AU58" t="s">
        <v>28</v>
      </c>
      <c r="AV58">
        <v>0</v>
      </c>
      <c r="AW58">
        <v>2</v>
      </c>
      <c r="AX58">
        <v>1473082146</v>
      </c>
      <c r="AY58">
        <v>1</v>
      </c>
      <c r="AZ58">
        <v>0</v>
      </c>
      <c r="BA58">
        <v>143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ROUND(Y58*Source!I511,9)</f>
        <v>0.04</v>
      </c>
      <c r="CY58">
        <f>AA58</f>
        <v>494.57</v>
      </c>
      <c r="CZ58">
        <f>AE58</f>
        <v>494.57</v>
      </c>
      <c r="DA58">
        <f>AI58</f>
        <v>1</v>
      </c>
      <c r="DB58">
        <f>ROUND((ROUND(AT58*CZ58,2)*4),6)</f>
        <v>19.8</v>
      </c>
      <c r="DC58">
        <f>ROUND((ROUND(AT58*AG58,2)*4),6)</f>
        <v>0</v>
      </c>
      <c r="DD58" t="s">
        <v>3</v>
      </c>
      <c r="DE58" t="s">
        <v>3</v>
      </c>
      <c r="DF58">
        <f t="shared" si="14"/>
        <v>19.78</v>
      </c>
      <c r="DG58">
        <f t="shared" si="15"/>
        <v>0</v>
      </c>
      <c r="DH58">
        <f t="shared" si="16"/>
        <v>0</v>
      </c>
      <c r="DI58">
        <f t="shared" si="17"/>
        <v>0</v>
      </c>
      <c r="DJ58">
        <f>DF58</f>
        <v>19.78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ROW(Source!A511)</f>
        <v>511</v>
      </c>
      <c r="B59">
        <v>1473080740</v>
      </c>
      <c r="C59">
        <v>1473082139</v>
      </c>
      <c r="D59">
        <v>1441836230</v>
      </c>
      <c r="E59">
        <v>1</v>
      </c>
      <c r="F59">
        <v>1</v>
      </c>
      <c r="G59">
        <v>15514512</v>
      </c>
      <c r="H59">
        <v>3</v>
      </c>
      <c r="I59" t="s">
        <v>444</v>
      </c>
      <c r="J59" t="s">
        <v>445</v>
      </c>
      <c r="K59" t="s">
        <v>446</v>
      </c>
      <c r="L59">
        <v>1327</v>
      </c>
      <c r="N59">
        <v>1005</v>
      </c>
      <c r="O59" t="s">
        <v>430</v>
      </c>
      <c r="P59" t="s">
        <v>430</v>
      </c>
      <c r="Q59">
        <v>1</v>
      </c>
      <c r="W59">
        <v>0</v>
      </c>
      <c r="X59">
        <v>-843547561</v>
      </c>
      <c r="Y59">
        <f>(AT59*4)</f>
        <v>0.08</v>
      </c>
      <c r="AA59">
        <v>46</v>
      </c>
      <c r="AB59">
        <v>0</v>
      </c>
      <c r="AC59">
        <v>0</v>
      </c>
      <c r="AD59">
        <v>0</v>
      </c>
      <c r="AE59">
        <v>46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0.02</v>
      </c>
      <c r="AU59" t="s">
        <v>28</v>
      </c>
      <c r="AV59">
        <v>0</v>
      </c>
      <c r="AW59">
        <v>2</v>
      </c>
      <c r="AX59">
        <v>1473082147</v>
      </c>
      <c r="AY59">
        <v>1</v>
      </c>
      <c r="AZ59">
        <v>0</v>
      </c>
      <c r="BA59">
        <v>144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ROUND(Y59*Source!I511,9)</f>
        <v>0.08</v>
      </c>
      <c r="CY59">
        <f>AA59</f>
        <v>46</v>
      </c>
      <c r="CZ59">
        <f>AE59</f>
        <v>46</v>
      </c>
      <c r="DA59">
        <f>AI59</f>
        <v>1</v>
      </c>
      <c r="DB59">
        <f>ROUND((ROUND(AT59*CZ59,2)*4),6)</f>
        <v>3.68</v>
      </c>
      <c r="DC59">
        <f>ROUND((ROUND(AT59*AG59,2)*4),6)</f>
        <v>0</v>
      </c>
      <c r="DD59" t="s">
        <v>3</v>
      </c>
      <c r="DE59" t="s">
        <v>3</v>
      </c>
      <c r="DF59">
        <f t="shared" si="14"/>
        <v>3.68</v>
      </c>
      <c r="DG59">
        <f t="shared" si="15"/>
        <v>0</v>
      </c>
      <c r="DH59">
        <f t="shared" si="16"/>
        <v>0</v>
      </c>
      <c r="DI59">
        <f t="shared" si="17"/>
        <v>0</v>
      </c>
      <c r="DJ59">
        <f>DF59</f>
        <v>3.68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ROW(Source!A512)</f>
        <v>512</v>
      </c>
      <c r="B60">
        <v>1473080740</v>
      </c>
      <c r="C60">
        <v>1473082148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391</v>
      </c>
      <c r="J60" t="s">
        <v>3</v>
      </c>
      <c r="K60" t="s">
        <v>392</v>
      </c>
      <c r="L60">
        <v>1191</v>
      </c>
      <c r="N60">
        <v>1013</v>
      </c>
      <c r="O60" t="s">
        <v>393</v>
      </c>
      <c r="P60" t="s">
        <v>393</v>
      </c>
      <c r="Q60">
        <v>1</v>
      </c>
      <c r="W60">
        <v>0</v>
      </c>
      <c r="X60">
        <v>476480486</v>
      </c>
      <c r="Y60">
        <f>(AT60*2)</f>
        <v>0.6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0.3</v>
      </c>
      <c r="AU60" t="s">
        <v>181</v>
      </c>
      <c r="AV60">
        <v>1</v>
      </c>
      <c r="AW60">
        <v>2</v>
      </c>
      <c r="AX60">
        <v>1473082152</v>
      </c>
      <c r="AY60">
        <v>1</v>
      </c>
      <c r="AZ60">
        <v>0</v>
      </c>
      <c r="BA60">
        <v>145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U60">
        <f>ROUND(AT60*Source!I512*AH60*AL60,2)</f>
        <v>0</v>
      </c>
      <c r="CV60">
        <f>ROUND(Y60*Source!I512,9)</f>
        <v>3</v>
      </c>
      <c r="CW60">
        <v>0</v>
      </c>
      <c r="CX60">
        <f>ROUND(Y60*Source!I512,9)</f>
        <v>3</v>
      </c>
      <c r="CY60">
        <f>AD60</f>
        <v>0</v>
      </c>
      <c r="CZ60">
        <f>AH60</f>
        <v>0</v>
      </c>
      <c r="DA60">
        <f>AL60</f>
        <v>1</v>
      </c>
      <c r="DB60">
        <f>ROUND((ROUND(AT60*CZ60,2)*2),6)</f>
        <v>0</v>
      </c>
      <c r="DC60">
        <f>ROUND((ROUND(AT60*AG60,2)*2),6)</f>
        <v>0</v>
      </c>
      <c r="DD60" t="s">
        <v>3</v>
      </c>
      <c r="DE60" t="s">
        <v>3</v>
      </c>
      <c r="DF60">
        <f t="shared" si="14"/>
        <v>0</v>
      </c>
      <c r="DG60">
        <f t="shared" si="15"/>
        <v>0</v>
      </c>
      <c r="DH60">
        <f t="shared" si="16"/>
        <v>0</v>
      </c>
      <c r="DI60">
        <f t="shared" si="17"/>
        <v>0</v>
      </c>
      <c r="DJ60">
        <f>DI60</f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ROW(Source!A512)</f>
        <v>512</v>
      </c>
      <c r="B61">
        <v>1473080740</v>
      </c>
      <c r="C61">
        <v>1473082148</v>
      </c>
      <c r="D61">
        <v>1441836235</v>
      </c>
      <c r="E61">
        <v>1</v>
      </c>
      <c r="F61">
        <v>1</v>
      </c>
      <c r="G61">
        <v>15514512</v>
      </c>
      <c r="H61">
        <v>3</v>
      </c>
      <c r="I61" t="s">
        <v>398</v>
      </c>
      <c r="J61" t="s">
        <v>399</v>
      </c>
      <c r="K61" t="s">
        <v>400</v>
      </c>
      <c r="L61">
        <v>1346</v>
      </c>
      <c r="N61">
        <v>1009</v>
      </c>
      <c r="O61" t="s">
        <v>401</v>
      </c>
      <c r="P61" t="s">
        <v>401</v>
      </c>
      <c r="Q61">
        <v>1</v>
      </c>
      <c r="W61">
        <v>0</v>
      </c>
      <c r="X61">
        <v>-1595335418</v>
      </c>
      <c r="Y61">
        <f>(AT61*2)</f>
        <v>0.1</v>
      </c>
      <c r="AA61">
        <v>31.49</v>
      </c>
      <c r="AB61">
        <v>0</v>
      </c>
      <c r="AC61">
        <v>0</v>
      </c>
      <c r="AD61">
        <v>0</v>
      </c>
      <c r="AE61">
        <v>31.49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0.05</v>
      </c>
      <c r="AU61" t="s">
        <v>181</v>
      </c>
      <c r="AV61">
        <v>0</v>
      </c>
      <c r="AW61">
        <v>2</v>
      </c>
      <c r="AX61">
        <v>1473082153</v>
      </c>
      <c r="AY61">
        <v>1</v>
      </c>
      <c r="AZ61">
        <v>0</v>
      </c>
      <c r="BA61">
        <v>146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ROUND(Y61*Source!I512,9)</f>
        <v>0.5</v>
      </c>
      <c r="CY61">
        <f>AA61</f>
        <v>31.49</v>
      </c>
      <c r="CZ61">
        <f>AE61</f>
        <v>31.49</v>
      </c>
      <c r="DA61">
        <f>AI61</f>
        <v>1</v>
      </c>
      <c r="DB61">
        <f>ROUND((ROUND(AT61*CZ61,2)*2),6)</f>
        <v>3.14</v>
      </c>
      <c r="DC61">
        <f>ROUND((ROUND(AT61*AG61,2)*2),6)</f>
        <v>0</v>
      </c>
      <c r="DD61" t="s">
        <v>3</v>
      </c>
      <c r="DE61" t="s">
        <v>3</v>
      </c>
      <c r="DF61">
        <f t="shared" si="14"/>
        <v>15.75</v>
      </c>
      <c r="DG61">
        <f t="shared" si="15"/>
        <v>0</v>
      </c>
      <c r="DH61">
        <f t="shared" si="16"/>
        <v>0</v>
      </c>
      <c r="DI61">
        <f t="shared" si="17"/>
        <v>0</v>
      </c>
      <c r="DJ61">
        <f>DF61</f>
        <v>15.75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ROW(Source!A512)</f>
        <v>512</v>
      </c>
      <c r="B62">
        <v>1473080740</v>
      </c>
      <c r="C62">
        <v>1473082148</v>
      </c>
      <c r="D62">
        <v>1441834628</v>
      </c>
      <c r="E62">
        <v>1</v>
      </c>
      <c r="F62">
        <v>1</v>
      </c>
      <c r="G62">
        <v>15514512</v>
      </c>
      <c r="H62">
        <v>3</v>
      </c>
      <c r="I62" t="s">
        <v>447</v>
      </c>
      <c r="J62" t="s">
        <v>448</v>
      </c>
      <c r="K62" t="s">
        <v>449</v>
      </c>
      <c r="L62">
        <v>1348</v>
      </c>
      <c r="N62">
        <v>1009</v>
      </c>
      <c r="O62" t="s">
        <v>412</v>
      </c>
      <c r="P62" t="s">
        <v>412</v>
      </c>
      <c r="Q62">
        <v>1000</v>
      </c>
      <c r="W62">
        <v>0</v>
      </c>
      <c r="X62">
        <v>779500846</v>
      </c>
      <c r="Y62">
        <f>(AT62*2)</f>
        <v>8.0000000000000007E-5</v>
      </c>
      <c r="AA62">
        <v>73951.73</v>
      </c>
      <c r="AB62">
        <v>0</v>
      </c>
      <c r="AC62">
        <v>0</v>
      </c>
      <c r="AD62">
        <v>0</v>
      </c>
      <c r="AE62">
        <v>73951.73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4.0000000000000003E-5</v>
      </c>
      <c r="AU62" t="s">
        <v>181</v>
      </c>
      <c r="AV62">
        <v>0</v>
      </c>
      <c r="AW62">
        <v>2</v>
      </c>
      <c r="AX62">
        <v>1473082154</v>
      </c>
      <c r="AY62">
        <v>1</v>
      </c>
      <c r="AZ62">
        <v>0</v>
      </c>
      <c r="BA62">
        <v>147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ROUND(Y62*Source!I512,9)</f>
        <v>4.0000000000000002E-4</v>
      </c>
      <c r="CY62">
        <f>AA62</f>
        <v>73951.73</v>
      </c>
      <c r="CZ62">
        <f>AE62</f>
        <v>73951.73</v>
      </c>
      <c r="DA62">
        <f>AI62</f>
        <v>1</v>
      </c>
      <c r="DB62">
        <f>ROUND((ROUND(AT62*CZ62,2)*2),6)</f>
        <v>5.92</v>
      </c>
      <c r="DC62">
        <f>ROUND((ROUND(AT62*AG62,2)*2),6)</f>
        <v>0</v>
      </c>
      <c r="DD62" t="s">
        <v>3</v>
      </c>
      <c r="DE62" t="s">
        <v>3</v>
      </c>
      <c r="DF62">
        <f t="shared" si="14"/>
        <v>29.58</v>
      </c>
      <c r="DG62">
        <f t="shared" si="15"/>
        <v>0</v>
      </c>
      <c r="DH62">
        <f t="shared" si="16"/>
        <v>0</v>
      </c>
      <c r="DI62">
        <f t="shared" si="17"/>
        <v>0</v>
      </c>
      <c r="DJ62">
        <f>DF62</f>
        <v>29.58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ROW(Source!A513)</f>
        <v>513</v>
      </c>
      <c r="B63">
        <v>1473080740</v>
      </c>
      <c r="C63">
        <v>1473082155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391</v>
      </c>
      <c r="J63" t="s">
        <v>3</v>
      </c>
      <c r="K63" t="s">
        <v>392</v>
      </c>
      <c r="L63">
        <v>1191</v>
      </c>
      <c r="N63">
        <v>1013</v>
      </c>
      <c r="O63" t="s">
        <v>393</v>
      </c>
      <c r="P63" t="s">
        <v>393</v>
      </c>
      <c r="Q63">
        <v>1</v>
      </c>
      <c r="W63">
        <v>0</v>
      </c>
      <c r="X63">
        <v>476480486</v>
      </c>
      <c r="Y63">
        <f>(AT63*3)</f>
        <v>1.6800000000000002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0.56000000000000005</v>
      </c>
      <c r="AU63" t="s">
        <v>163</v>
      </c>
      <c r="AV63">
        <v>1</v>
      </c>
      <c r="AW63">
        <v>2</v>
      </c>
      <c r="AX63">
        <v>1473082157</v>
      </c>
      <c r="AY63">
        <v>1</v>
      </c>
      <c r="AZ63">
        <v>0</v>
      </c>
      <c r="BA63">
        <v>148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ROUND(AT63*Source!I513*AH63*AL63,2)</f>
        <v>0</v>
      </c>
      <c r="CV63">
        <f>ROUND(Y63*Source!I513,9)</f>
        <v>0.16800000000000001</v>
      </c>
      <c r="CW63">
        <v>0</v>
      </c>
      <c r="CX63">
        <f>ROUND(Y63*Source!I513,9)</f>
        <v>0.16800000000000001</v>
      </c>
      <c r="CY63">
        <f>AD63</f>
        <v>0</v>
      </c>
      <c r="CZ63">
        <f>AH63</f>
        <v>0</v>
      </c>
      <c r="DA63">
        <f>AL63</f>
        <v>1</v>
      </c>
      <c r="DB63">
        <f>ROUND((ROUND(AT63*CZ63,2)*3),6)</f>
        <v>0</v>
      </c>
      <c r="DC63">
        <f>ROUND((ROUND(AT63*AG63,2)*3),6)</f>
        <v>0</v>
      </c>
      <c r="DD63" t="s">
        <v>3</v>
      </c>
      <c r="DE63" t="s">
        <v>3</v>
      </c>
      <c r="DF63">
        <f t="shared" si="14"/>
        <v>0</v>
      </c>
      <c r="DG63">
        <f t="shared" si="15"/>
        <v>0</v>
      </c>
      <c r="DH63">
        <f t="shared" si="16"/>
        <v>0</v>
      </c>
      <c r="DI63">
        <f t="shared" si="17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ROW(Source!A514)</f>
        <v>514</v>
      </c>
      <c r="B64">
        <v>1473080740</v>
      </c>
      <c r="C64">
        <v>1473082158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391</v>
      </c>
      <c r="J64" t="s">
        <v>3</v>
      </c>
      <c r="K64" t="s">
        <v>392</v>
      </c>
      <c r="L64">
        <v>1191</v>
      </c>
      <c r="N64">
        <v>1013</v>
      </c>
      <c r="O64" t="s">
        <v>393</v>
      </c>
      <c r="P64" t="s">
        <v>393</v>
      </c>
      <c r="Q64">
        <v>1</v>
      </c>
      <c r="W64">
        <v>0</v>
      </c>
      <c r="X64">
        <v>476480486</v>
      </c>
      <c r="Y64">
        <f>AT64</f>
        <v>0.16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0.16</v>
      </c>
      <c r="AU64" t="s">
        <v>3</v>
      </c>
      <c r="AV64">
        <v>1</v>
      </c>
      <c r="AW64">
        <v>2</v>
      </c>
      <c r="AX64">
        <v>1473082160</v>
      </c>
      <c r="AY64">
        <v>1</v>
      </c>
      <c r="AZ64">
        <v>0</v>
      </c>
      <c r="BA64">
        <v>149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ROUND(AT64*Source!I514*AH64*AL64,2)</f>
        <v>0</v>
      </c>
      <c r="CV64">
        <f>ROUND(Y64*Source!I514,9)</f>
        <v>0.16</v>
      </c>
      <c r="CW64">
        <v>0</v>
      </c>
      <c r="CX64">
        <f>ROUND(Y64*Source!I514,9)</f>
        <v>0.16</v>
      </c>
      <c r="CY64">
        <f>AD64</f>
        <v>0</v>
      </c>
      <c r="CZ64">
        <f>AH64</f>
        <v>0</v>
      </c>
      <c r="DA64">
        <f>AL64</f>
        <v>1</v>
      </c>
      <c r="DB64">
        <f>ROUND(ROUND(AT64*CZ64,2),6)</f>
        <v>0</v>
      </c>
      <c r="DC64">
        <f>ROUND(ROUND(AT64*AG64,2),6)</f>
        <v>0</v>
      </c>
      <c r="DD64" t="s">
        <v>3</v>
      </c>
      <c r="DE64" t="s">
        <v>3</v>
      </c>
      <c r="DF64">
        <f t="shared" si="14"/>
        <v>0</v>
      </c>
      <c r="DG64">
        <f t="shared" si="15"/>
        <v>0</v>
      </c>
      <c r="DH64">
        <f t="shared" si="16"/>
        <v>0</v>
      </c>
      <c r="DI64">
        <f t="shared" si="17"/>
        <v>0</v>
      </c>
      <c r="DJ64">
        <f>DI64</f>
        <v>0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ROW(Source!A515)</f>
        <v>515</v>
      </c>
      <c r="B65">
        <v>1473080740</v>
      </c>
      <c r="C65">
        <v>1473082161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391</v>
      </c>
      <c r="J65" t="s">
        <v>3</v>
      </c>
      <c r="K65" t="s">
        <v>392</v>
      </c>
      <c r="L65">
        <v>1191</v>
      </c>
      <c r="N65">
        <v>1013</v>
      </c>
      <c r="O65" t="s">
        <v>393</v>
      </c>
      <c r="P65" t="s">
        <v>393</v>
      </c>
      <c r="Q65">
        <v>1</v>
      </c>
      <c r="W65">
        <v>0</v>
      </c>
      <c r="X65">
        <v>476480486</v>
      </c>
      <c r="Y65">
        <f>(AT65*2)</f>
        <v>0.6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0.3</v>
      </c>
      <c r="AU65" t="s">
        <v>181</v>
      </c>
      <c r="AV65">
        <v>1</v>
      </c>
      <c r="AW65">
        <v>2</v>
      </c>
      <c r="AX65">
        <v>1473082165</v>
      </c>
      <c r="AY65">
        <v>1</v>
      </c>
      <c r="AZ65">
        <v>0</v>
      </c>
      <c r="BA65">
        <v>150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U65">
        <f>ROUND(AT65*Source!I515*AH65*AL65,2)</f>
        <v>0</v>
      </c>
      <c r="CV65">
        <f>ROUND(Y65*Source!I515,9)</f>
        <v>1.8</v>
      </c>
      <c r="CW65">
        <v>0</v>
      </c>
      <c r="CX65">
        <f>ROUND(Y65*Source!I515,9)</f>
        <v>1.8</v>
      </c>
      <c r="CY65">
        <f>AD65</f>
        <v>0</v>
      </c>
      <c r="CZ65">
        <f>AH65</f>
        <v>0</v>
      </c>
      <c r="DA65">
        <f>AL65</f>
        <v>1</v>
      </c>
      <c r="DB65">
        <f>ROUND((ROUND(AT65*CZ65,2)*2),6)</f>
        <v>0</v>
      </c>
      <c r="DC65">
        <f>ROUND((ROUND(AT65*AG65,2)*2),6)</f>
        <v>0</v>
      </c>
      <c r="DD65" t="s">
        <v>3</v>
      </c>
      <c r="DE65" t="s">
        <v>3</v>
      </c>
      <c r="DF65">
        <f t="shared" ref="DF65:DF96" si="18">ROUND(ROUND(AE65,2)*CX65,2)</f>
        <v>0</v>
      </c>
      <c r="DG65">
        <f t="shared" ref="DG65:DG96" si="19">ROUND(ROUND(AF65,2)*CX65,2)</f>
        <v>0</v>
      </c>
      <c r="DH65">
        <f t="shared" ref="DH65:DH96" si="20">ROUND(ROUND(AG65,2)*CX65,2)</f>
        <v>0</v>
      </c>
      <c r="DI65">
        <f t="shared" ref="DI65:DI96" si="21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ROW(Source!A515)</f>
        <v>515</v>
      </c>
      <c r="B66">
        <v>1473080740</v>
      </c>
      <c r="C66">
        <v>1473082161</v>
      </c>
      <c r="D66">
        <v>1441836235</v>
      </c>
      <c r="E66">
        <v>1</v>
      </c>
      <c r="F66">
        <v>1</v>
      </c>
      <c r="G66">
        <v>15514512</v>
      </c>
      <c r="H66">
        <v>3</v>
      </c>
      <c r="I66" t="s">
        <v>398</v>
      </c>
      <c r="J66" t="s">
        <v>399</v>
      </c>
      <c r="K66" t="s">
        <v>400</v>
      </c>
      <c r="L66">
        <v>1346</v>
      </c>
      <c r="N66">
        <v>1009</v>
      </c>
      <c r="O66" t="s">
        <v>401</v>
      </c>
      <c r="P66" t="s">
        <v>401</v>
      </c>
      <c r="Q66">
        <v>1</v>
      </c>
      <c r="W66">
        <v>0</v>
      </c>
      <c r="X66">
        <v>-1595335418</v>
      </c>
      <c r="Y66">
        <f>(AT66*2)</f>
        <v>0.1</v>
      </c>
      <c r="AA66">
        <v>31.49</v>
      </c>
      <c r="AB66">
        <v>0</v>
      </c>
      <c r="AC66">
        <v>0</v>
      </c>
      <c r="AD66">
        <v>0</v>
      </c>
      <c r="AE66">
        <v>31.49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0.05</v>
      </c>
      <c r="AU66" t="s">
        <v>181</v>
      </c>
      <c r="AV66">
        <v>0</v>
      </c>
      <c r="AW66">
        <v>2</v>
      </c>
      <c r="AX66">
        <v>1473082166</v>
      </c>
      <c r="AY66">
        <v>1</v>
      </c>
      <c r="AZ66">
        <v>0</v>
      </c>
      <c r="BA66">
        <v>151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ROUND(Y66*Source!I515,9)</f>
        <v>0.3</v>
      </c>
      <c r="CY66">
        <f>AA66</f>
        <v>31.49</v>
      </c>
      <c r="CZ66">
        <f>AE66</f>
        <v>31.49</v>
      </c>
      <c r="DA66">
        <f>AI66</f>
        <v>1</v>
      </c>
      <c r="DB66">
        <f>ROUND((ROUND(AT66*CZ66,2)*2),6)</f>
        <v>3.14</v>
      </c>
      <c r="DC66">
        <f>ROUND((ROUND(AT66*AG66,2)*2),6)</f>
        <v>0</v>
      </c>
      <c r="DD66" t="s">
        <v>3</v>
      </c>
      <c r="DE66" t="s">
        <v>3</v>
      </c>
      <c r="DF66">
        <f t="shared" si="18"/>
        <v>9.4499999999999993</v>
      </c>
      <c r="DG66">
        <f t="shared" si="19"/>
        <v>0</v>
      </c>
      <c r="DH66">
        <f t="shared" si="20"/>
        <v>0</v>
      </c>
      <c r="DI66">
        <f t="shared" si="21"/>
        <v>0</v>
      </c>
      <c r="DJ66">
        <f>DF66</f>
        <v>9.4499999999999993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ROW(Source!A515)</f>
        <v>515</v>
      </c>
      <c r="B67">
        <v>1473080740</v>
      </c>
      <c r="C67">
        <v>1473082161</v>
      </c>
      <c r="D67">
        <v>1441834628</v>
      </c>
      <c r="E67">
        <v>1</v>
      </c>
      <c r="F67">
        <v>1</v>
      </c>
      <c r="G67">
        <v>15514512</v>
      </c>
      <c r="H67">
        <v>3</v>
      </c>
      <c r="I67" t="s">
        <v>447</v>
      </c>
      <c r="J67" t="s">
        <v>448</v>
      </c>
      <c r="K67" t="s">
        <v>449</v>
      </c>
      <c r="L67">
        <v>1348</v>
      </c>
      <c r="N67">
        <v>1009</v>
      </c>
      <c r="O67" t="s">
        <v>412</v>
      </c>
      <c r="P67" t="s">
        <v>412</v>
      </c>
      <c r="Q67">
        <v>1000</v>
      </c>
      <c r="W67">
        <v>0</v>
      </c>
      <c r="X67">
        <v>779500846</v>
      </c>
      <c r="Y67">
        <f>(AT67*2)</f>
        <v>8.0000000000000007E-5</v>
      </c>
      <c r="AA67">
        <v>73951.73</v>
      </c>
      <c r="AB67">
        <v>0</v>
      </c>
      <c r="AC67">
        <v>0</v>
      </c>
      <c r="AD67">
        <v>0</v>
      </c>
      <c r="AE67">
        <v>73951.73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4.0000000000000003E-5</v>
      </c>
      <c r="AU67" t="s">
        <v>181</v>
      </c>
      <c r="AV67">
        <v>0</v>
      </c>
      <c r="AW67">
        <v>2</v>
      </c>
      <c r="AX67">
        <v>1473082167</v>
      </c>
      <c r="AY67">
        <v>1</v>
      </c>
      <c r="AZ67">
        <v>0</v>
      </c>
      <c r="BA67">
        <v>152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ROUND(Y67*Source!I515,9)</f>
        <v>2.4000000000000001E-4</v>
      </c>
      <c r="CY67">
        <f>AA67</f>
        <v>73951.73</v>
      </c>
      <c r="CZ67">
        <f>AE67</f>
        <v>73951.73</v>
      </c>
      <c r="DA67">
        <f>AI67</f>
        <v>1</v>
      </c>
      <c r="DB67">
        <f>ROUND((ROUND(AT67*CZ67,2)*2),6)</f>
        <v>5.92</v>
      </c>
      <c r="DC67">
        <f>ROUND((ROUND(AT67*AG67,2)*2),6)</f>
        <v>0</v>
      </c>
      <c r="DD67" t="s">
        <v>3</v>
      </c>
      <c r="DE67" t="s">
        <v>3</v>
      </c>
      <c r="DF67">
        <f t="shared" si="18"/>
        <v>17.75</v>
      </c>
      <c r="DG67">
        <f t="shared" si="19"/>
        <v>0</v>
      </c>
      <c r="DH67">
        <f t="shared" si="20"/>
        <v>0</v>
      </c>
      <c r="DI67">
        <f t="shared" si="21"/>
        <v>0</v>
      </c>
      <c r="DJ67">
        <f>DF67</f>
        <v>17.75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ROW(Source!A516)</f>
        <v>516</v>
      </c>
      <c r="B68">
        <v>1473080740</v>
      </c>
      <c r="C68">
        <v>1473082168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391</v>
      </c>
      <c r="J68" t="s">
        <v>3</v>
      </c>
      <c r="K68" t="s">
        <v>392</v>
      </c>
      <c r="L68">
        <v>1191</v>
      </c>
      <c r="N68">
        <v>1013</v>
      </c>
      <c r="O68" t="s">
        <v>393</v>
      </c>
      <c r="P68" t="s">
        <v>393</v>
      </c>
      <c r="Q68">
        <v>1</v>
      </c>
      <c r="W68">
        <v>0</v>
      </c>
      <c r="X68">
        <v>476480486</v>
      </c>
      <c r="Y68">
        <f>(AT68*4)</f>
        <v>0.68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0.17</v>
      </c>
      <c r="AU68" t="s">
        <v>28</v>
      </c>
      <c r="AV68">
        <v>1</v>
      </c>
      <c r="AW68">
        <v>2</v>
      </c>
      <c r="AX68">
        <v>1473082173</v>
      </c>
      <c r="AY68">
        <v>1</v>
      </c>
      <c r="AZ68">
        <v>0</v>
      </c>
      <c r="BA68">
        <v>153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ROUND(AT68*Source!I516*AH68*AL68,2)</f>
        <v>0</v>
      </c>
      <c r="CV68">
        <f>ROUND(Y68*Source!I516,9)</f>
        <v>0.68</v>
      </c>
      <c r="CW68">
        <v>0</v>
      </c>
      <c r="CX68">
        <f>ROUND(Y68*Source!I516,9)</f>
        <v>0.68</v>
      </c>
      <c r="CY68">
        <f>AD68</f>
        <v>0</v>
      </c>
      <c r="CZ68">
        <f>AH68</f>
        <v>0</v>
      </c>
      <c r="DA68">
        <f>AL68</f>
        <v>1</v>
      </c>
      <c r="DB68">
        <f>ROUND((ROUND(AT68*CZ68,2)*4),6)</f>
        <v>0</v>
      </c>
      <c r="DC68">
        <f>ROUND((ROUND(AT68*AG68,2)*4),6)</f>
        <v>0</v>
      </c>
      <c r="DD68" t="s">
        <v>3</v>
      </c>
      <c r="DE68" t="s">
        <v>3</v>
      </c>
      <c r="DF68">
        <f t="shared" si="18"/>
        <v>0</v>
      </c>
      <c r="DG68">
        <f t="shared" si="19"/>
        <v>0</v>
      </c>
      <c r="DH68">
        <f t="shared" si="20"/>
        <v>0</v>
      </c>
      <c r="DI68">
        <f t="shared" si="21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ROW(Source!A516)</f>
        <v>516</v>
      </c>
      <c r="B69">
        <v>1473080740</v>
      </c>
      <c r="C69">
        <v>1473082168</v>
      </c>
      <c r="D69">
        <v>1441834258</v>
      </c>
      <c r="E69">
        <v>1</v>
      </c>
      <c r="F69">
        <v>1</v>
      </c>
      <c r="G69">
        <v>15514512</v>
      </c>
      <c r="H69">
        <v>2</v>
      </c>
      <c r="I69" t="s">
        <v>394</v>
      </c>
      <c r="J69" t="s">
        <v>395</v>
      </c>
      <c r="K69" t="s">
        <v>396</v>
      </c>
      <c r="L69">
        <v>1368</v>
      </c>
      <c r="N69">
        <v>1011</v>
      </c>
      <c r="O69" t="s">
        <v>397</v>
      </c>
      <c r="P69" t="s">
        <v>397</v>
      </c>
      <c r="Q69">
        <v>1</v>
      </c>
      <c r="W69">
        <v>0</v>
      </c>
      <c r="X69">
        <v>1077756263</v>
      </c>
      <c r="Y69">
        <f>(AT69*4)</f>
        <v>0.04</v>
      </c>
      <c r="AA69">
        <v>0</v>
      </c>
      <c r="AB69">
        <v>1303.01</v>
      </c>
      <c r="AC69">
        <v>826.2</v>
      </c>
      <c r="AD69">
        <v>0</v>
      </c>
      <c r="AE69">
        <v>0</v>
      </c>
      <c r="AF69">
        <v>1303.01</v>
      </c>
      <c r="AG69">
        <v>826.2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0.01</v>
      </c>
      <c r="AU69" t="s">
        <v>28</v>
      </c>
      <c r="AV69">
        <v>0</v>
      </c>
      <c r="AW69">
        <v>2</v>
      </c>
      <c r="AX69">
        <v>1473082174</v>
      </c>
      <c r="AY69">
        <v>1</v>
      </c>
      <c r="AZ69">
        <v>0</v>
      </c>
      <c r="BA69">
        <v>154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ROUND(Y69*Source!I516*DO69,9)</f>
        <v>0</v>
      </c>
      <c r="CX69">
        <f>ROUND(Y69*Source!I516,9)</f>
        <v>0.04</v>
      </c>
      <c r="CY69">
        <f>AB69</f>
        <v>1303.01</v>
      </c>
      <c r="CZ69">
        <f>AF69</f>
        <v>1303.01</v>
      </c>
      <c r="DA69">
        <f>AJ69</f>
        <v>1</v>
      </c>
      <c r="DB69">
        <f>ROUND((ROUND(AT69*CZ69,2)*4),6)</f>
        <v>52.12</v>
      </c>
      <c r="DC69">
        <f>ROUND((ROUND(AT69*AG69,2)*4),6)</f>
        <v>33.04</v>
      </c>
      <c r="DD69" t="s">
        <v>3</v>
      </c>
      <c r="DE69" t="s">
        <v>3</v>
      </c>
      <c r="DF69">
        <f t="shared" si="18"/>
        <v>0</v>
      </c>
      <c r="DG69">
        <f t="shared" si="19"/>
        <v>52.12</v>
      </c>
      <c r="DH69">
        <f t="shared" si="20"/>
        <v>33.049999999999997</v>
      </c>
      <c r="DI69">
        <f t="shared" si="21"/>
        <v>0</v>
      </c>
      <c r="DJ69">
        <f>DG69</f>
        <v>52.12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ROW(Source!A516)</f>
        <v>516</v>
      </c>
      <c r="B70">
        <v>1473080740</v>
      </c>
      <c r="C70">
        <v>1473082168</v>
      </c>
      <c r="D70">
        <v>1441836186</v>
      </c>
      <c r="E70">
        <v>1</v>
      </c>
      <c r="F70">
        <v>1</v>
      </c>
      <c r="G70">
        <v>15514512</v>
      </c>
      <c r="H70">
        <v>3</v>
      </c>
      <c r="I70" t="s">
        <v>441</v>
      </c>
      <c r="J70" t="s">
        <v>442</v>
      </c>
      <c r="K70" t="s">
        <v>443</v>
      </c>
      <c r="L70">
        <v>1346</v>
      </c>
      <c r="N70">
        <v>1009</v>
      </c>
      <c r="O70" t="s">
        <v>401</v>
      </c>
      <c r="P70" t="s">
        <v>401</v>
      </c>
      <c r="Q70">
        <v>1</v>
      </c>
      <c r="W70">
        <v>0</v>
      </c>
      <c r="X70">
        <v>1299790764</v>
      </c>
      <c r="Y70">
        <f>(AT70*4)</f>
        <v>0.04</v>
      </c>
      <c r="AA70">
        <v>494.57</v>
      </c>
      <c r="AB70">
        <v>0</v>
      </c>
      <c r="AC70">
        <v>0</v>
      </c>
      <c r="AD70">
        <v>0</v>
      </c>
      <c r="AE70">
        <v>494.57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0.01</v>
      </c>
      <c r="AU70" t="s">
        <v>28</v>
      </c>
      <c r="AV70">
        <v>0</v>
      </c>
      <c r="AW70">
        <v>2</v>
      </c>
      <c r="AX70">
        <v>1473082175</v>
      </c>
      <c r="AY70">
        <v>1</v>
      </c>
      <c r="AZ70">
        <v>0</v>
      </c>
      <c r="BA70">
        <v>155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ROUND(Y70*Source!I516,9)</f>
        <v>0.04</v>
      </c>
      <c r="CY70">
        <f>AA70</f>
        <v>494.57</v>
      </c>
      <c r="CZ70">
        <f>AE70</f>
        <v>494.57</v>
      </c>
      <c r="DA70">
        <f>AI70</f>
        <v>1</v>
      </c>
      <c r="DB70">
        <f>ROUND((ROUND(AT70*CZ70,2)*4),6)</f>
        <v>19.8</v>
      </c>
      <c r="DC70">
        <f>ROUND((ROUND(AT70*AG70,2)*4),6)</f>
        <v>0</v>
      </c>
      <c r="DD70" t="s">
        <v>3</v>
      </c>
      <c r="DE70" t="s">
        <v>3</v>
      </c>
      <c r="DF70">
        <f t="shared" si="18"/>
        <v>19.78</v>
      </c>
      <c r="DG70">
        <f t="shared" si="19"/>
        <v>0</v>
      </c>
      <c r="DH70">
        <f t="shared" si="20"/>
        <v>0</v>
      </c>
      <c r="DI70">
        <f t="shared" si="21"/>
        <v>0</v>
      </c>
      <c r="DJ70">
        <f>DF70</f>
        <v>19.78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ROW(Source!A516)</f>
        <v>516</v>
      </c>
      <c r="B71">
        <v>1473080740</v>
      </c>
      <c r="C71">
        <v>1473082168</v>
      </c>
      <c r="D71">
        <v>1441836230</v>
      </c>
      <c r="E71">
        <v>1</v>
      </c>
      <c r="F71">
        <v>1</v>
      </c>
      <c r="G71">
        <v>15514512</v>
      </c>
      <c r="H71">
        <v>3</v>
      </c>
      <c r="I71" t="s">
        <v>444</v>
      </c>
      <c r="J71" t="s">
        <v>445</v>
      </c>
      <c r="K71" t="s">
        <v>446</v>
      </c>
      <c r="L71">
        <v>1327</v>
      </c>
      <c r="N71">
        <v>1005</v>
      </c>
      <c r="O71" t="s">
        <v>430</v>
      </c>
      <c r="P71" t="s">
        <v>430</v>
      </c>
      <c r="Q71">
        <v>1</v>
      </c>
      <c r="W71">
        <v>0</v>
      </c>
      <c r="X71">
        <v>-843547561</v>
      </c>
      <c r="Y71">
        <f>(AT71*4)</f>
        <v>0.08</v>
      </c>
      <c r="AA71">
        <v>46</v>
      </c>
      <c r="AB71">
        <v>0</v>
      </c>
      <c r="AC71">
        <v>0</v>
      </c>
      <c r="AD71">
        <v>0</v>
      </c>
      <c r="AE71">
        <v>46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0.02</v>
      </c>
      <c r="AU71" t="s">
        <v>28</v>
      </c>
      <c r="AV71">
        <v>0</v>
      </c>
      <c r="AW71">
        <v>2</v>
      </c>
      <c r="AX71">
        <v>1473082176</v>
      </c>
      <c r="AY71">
        <v>1</v>
      </c>
      <c r="AZ71">
        <v>0</v>
      </c>
      <c r="BA71">
        <v>156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ROUND(Y71*Source!I516,9)</f>
        <v>0.08</v>
      </c>
      <c r="CY71">
        <f>AA71</f>
        <v>46</v>
      </c>
      <c r="CZ71">
        <f>AE71</f>
        <v>46</v>
      </c>
      <c r="DA71">
        <f>AI71</f>
        <v>1</v>
      </c>
      <c r="DB71">
        <f>ROUND((ROUND(AT71*CZ71,2)*4),6)</f>
        <v>3.68</v>
      </c>
      <c r="DC71">
        <f>ROUND((ROUND(AT71*AG71,2)*4),6)</f>
        <v>0</v>
      </c>
      <c r="DD71" t="s">
        <v>3</v>
      </c>
      <c r="DE71" t="s">
        <v>3</v>
      </c>
      <c r="DF71">
        <f t="shared" si="18"/>
        <v>3.68</v>
      </c>
      <c r="DG71">
        <f t="shared" si="19"/>
        <v>0</v>
      </c>
      <c r="DH71">
        <f t="shared" si="20"/>
        <v>0</v>
      </c>
      <c r="DI71">
        <f t="shared" si="21"/>
        <v>0</v>
      </c>
      <c r="DJ71">
        <f>DF71</f>
        <v>3.68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ROW(Source!A517)</f>
        <v>517</v>
      </c>
      <c r="B72">
        <v>1473080740</v>
      </c>
      <c r="C72">
        <v>1473082177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391</v>
      </c>
      <c r="J72" t="s">
        <v>3</v>
      </c>
      <c r="K72" t="s">
        <v>392</v>
      </c>
      <c r="L72">
        <v>1191</v>
      </c>
      <c r="N72">
        <v>1013</v>
      </c>
      <c r="O72" t="s">
        <v>393</v>
      </c>
      <c r="P72" t="s">
        <v>393</v>
      </c>
      <c r="Q72">
        <v>1</v>
      </c>
      <c r="W72">
        <v>0</v>
      </c>
      <c r="X72">
        <v>476480486</v>
      </c>
      <c r="Y72">
        <f>(AT72*2)</f>
        <v>0.6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0.3</v>
      </c>
      <c r="AU72" t="s">
        <v>181</v>
      </c>
      <c r="AV72">
        <v>1</v>
      </c>
      <c r="AW72">
        <v>2</v>
      </c>
      <c r="AX72">
        <v>1473082181</v>
      </c>
      <c r="AY72">
        <v>1</v>
      </c>
      <c r="AZ72">
        <v>0</v>
      </c>
      <c r="BA72">
        <v>157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U72">
        <f>ROUND(AT72*Source!I517*AH72*AL72,2)</f>
        <v>0</v>
      </c>
      <c r="CV72">
        <f>ROUND(Y72*Source!I517,9)</f>
        <v>3</v>
      </c>
      <c r="CW72">
        <v>0</v>
      </c>
      <c r="CX72">
        <f>ROUND(Y72*Source!I517,9)</f>
        <v>3</v>
      </c>
      <c r="CY72">
        <f>AD72</f>
        <v>0</v>
      </c>
      <c r="CZ72">
        <f>AH72</f>
        <v>0</v>
      </c>
      <c r="DA72">
        <f>AL72</f>
        <v>1</v>
      </c>
      <c r="DB72">
        <f>ROUND((ROUND(AT72*CZ72,2)*2),6)</f>
        <v>0</v>
      </c>
      <c r="DC72">
        <f>ROUND((ROUND(AT72*AG72,2)*2),6)</f>
        <v>0</v>
      </c>
      <c r="DD72" t="s">
        <v>3</v>
      </c>
      <c r="DE72" t="s">
        <v>3</v>
      </c>
      <c r="DF72">
        <f t="shared" si="18"/>
        <v>0</v>
      </c>
      <c r="DG72">
        <f t="shared" si="19"/>
        <v>0</v>
      </c>
      <c r="DH72">
        <f t="shared" si="20"/>
        <v>0</v>
      </c>
      <c r="DI72">
        <f t="shared" si="21"/>
        <v>0</v>
      </c>
      <c r="DJ72">
        <f>DI72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ROW(Source!A517)</f>
        <v>517</v>
      </c>
      <c r="B73">
        <v>1473080740</v>
      </c>
      <c r="C73">
        <v>1473082177</v>
      </c>
      <c r="D73">
        <v>1441836235</v>
      </c>
      <c r="E73">
        <v>1</v>
      </c>
      <c r="F73">
        <v>1</v>
      </c>
      <c r="G73">
        <v>15514512</v>
      </c>
      <c r="H73">
        <v>3</v>
      </c>
      <c r="I73" t="s">
        <v>398</v>
      </c>
      <c r="J73" t="s">
        <v>399</v>
      </c>
      <c r="K73" t="s">
        <v>400</v>
      </c>
      <c r="L73">
        <v>1346</v>
      </c>
      <c r="N73">
        <v>1009</v>
      </c>
      <c r="O73" t="s">
        <v>401</v>
      </c>
      <c r="P73" t="s">
        <v>401</v>
      </c>
      <c r="Q73">
        <v>1</v>
      </c>
      <c r="W73">
        <v>0</v>
      </c>
      <c r="X73">
        <v>-1595335418</v>
      </c>
      <c r="Y73">
        <f>(AT73*2)</f>
        <v>0.1</v>
      </c>
      <c r="AA73">
        <v>31.49</v>
      </c>
      <c r="AB73">
        <v>0</v>
      </c>
      <c r="AC73">
        <v>0</v>
      </c>
      <c r="AD73">
        <v>0</v>
      </c>
      <c r="AE73">
        <v>31.49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0.05</v>
      </c>
      <c r="AU73" t="s">
        <v>181</v>
      </c>
      <c r="AV73">
        <v>0</v>
      </c>
      <c r="AW73">
        <v>2</v>
      </c>
      <c r="AX73">
        <v>1473082182</v>
      </c>
      <c r="AY73">
        <v>1</v>
      </c>
      <c r="AZ73">
        <v>0</v>
      </c>
      <c r="BA73">
        <v>158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ROUND(Y73*Source!I517,9)</f>
        <v>0.5</v>
      </c>
      <c r="CY73">
        <f>AA73</f>
        <v>31.49</v>
      </c>
      <c r="CZ73">
        <f>AE73</f>
        <v>31.49</v>
      </c>
      <c r="DA73">
        <f>AI73</f>
        <v>1</v>
      </c>
      <c r="DB73">
        <f>ROUND((ROUND(AT73*CZ73,2)*2),6)</f>
        <v>3.14</v>
      </c>
      <c r="DC73">
        <f>ROUND((ROUND(AT73*AG73,2)*2),6)</f>
        <v>0</v>
      </c>
      <c r="DD73" t="s">
        <v>3</v>
      </c>
      <c r="DE73" t="s">
        <v>3</v>
      </c>
      <c r="DF73">
        <f t="shared" si="18"/>
        <v>15.75</v>
      </c>
      <c r="DG73">
        <f t="shared" si="19"/>
        <v>0</v>
      </c>
      <c r="DH73">
        <f t="shared" si="20"/>
        <v>0</v>
      </c>
      <c r="DI73">
        <f t="shared" si="21"/>
        <v>0</v>
      </c>
      <c r="DJ73">
        <f>DF73</f>
        <v>15.75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ROW(Source!A517)</f>
        <v>517</v>
      </c>
      <c r="B74">
        <v>1473080740</v>
      </c>
      <c r="C74">
        <v>1473082177</v>
      </c>
      <c r="D74">
        <v>1441834628</v>
      </c>
      <c r="E74">
        <v>1</v>
      </c>
      <c r="F74">
        <v>1</v>
      </c>
      <c r="G74">
        <v>15514512</v>
      </c>
      <c r="H74">
        <v>3</v>
      </c>
      <c r="I74" t="s">
        <v>447</v>
      </c>
      <c r="J74" t="s">
        <v>448</v>
      </c>
      <c r="K74" t="s">
        <v>449</v>
      </c>
      <c r="L74">
        <v>1348</v>
      </c>
      <c r="N74">
        <v>1009</v>
      </c>
      <c r="O74" t="s">
        <v>412</v>
      </c>
      <c r="P74" t="s">
        <v>412</v>
      </c>
      <c r="Q74">
        <v>1000</v>
      </c>
      <c r="W74">
        <v>0</v>
      </c>
      <c r="X74">
        <v>779500846</v>
      </c>
      <c r="Y74">
        <f>(AT74*2)</f>
        <v>8.0000000000000007E-5</v>
      </c>
      <c r="AA74">
        <v>73951.73</v>
      </c>
      <c r="AB74">
        <v>0</v>
      </c>
      <c r="AC74">
        <v>0</v>
      </c>
      <c r="AD74">
        <v>0</v>
      </c>
      <c r="AE74">
        <v>73951.73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4.0000000000000003E-5</v>
      </c>
      <c r="AU74" t="s">
        <v>181</v>
      </c>
      <c r="AV74">
        <v>0</v>
      </c>
      <c r="AW74">
        <v>2</v>
      </c>
      <c r="AX74">
        <v>1473082183</v>
      </c>
      <c r="AY74">
        <v>1</v>
      </c>
      <c r="AZ74">
        <v>0</v>
      </c>
      <c r="BA74">
        <v>159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ROUND(Y74*Source!I517,9)</f>
        <v>4.0000000000000002E-4</v>
      </c>
      <c r="CY74">
        <f>AA74</f>
        <v>73951.73</v>
      </c>
      <c r="CZ74">
        <f>AE74</f>
        <v>73951.73</v>
      </c>
      <c r="DA74">
        <f>AI74</f>
        <v>1</v>
      </c>
      <c r="DB74">
        <f>ROUND((ROUND(AT74*CZ74,2)*2),6)</f>
        <v>5.92</v>
      </c>
      <c r="DC74">
        <f>ROUND((ROUND(AT74*AG74,2)*2),6)</f>
        <v>0</v>
      </c>
      <c r="DD74" t="s">
        <v>3</v>
      </c>
      <c r="DE74" t="s">
        <v>3</v>
      </c>
      <c r="DF74">
        <f t="shared" si="18"/>
        <v>29.58</v>
      </c>
      <c r="DG74">
        <f t="shared" si="19"/>
        <v>0</v>
      </c>
      <c r="DH74">
        <f t="shared" si="20"/>
        <v>0</v>
      </c>
      <c r="DI74">
        <f t="shared" si="21"/>
        <v>0</v>
      </c>
      <c r="DJ74">
        <f>DF74</f>
        <v>29.58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ROW(Source!A518)</f>
        <v>518</v>
      </c>
      <c r="B75">
        <v>1473080740</v>
      </c>
      <c r="C75">
        <v>1473082184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391</v>
      </c>
      <c r="J75" t="s">
        <v>3</v>
      </c>
      <c r="K75" t="s">
        <v>392</v>
      </c>
      <c r="L75">
        <v>1191</v>
      </c>
      <c r="N75">
        <v>1013</v>
      </c>
      <c r="O75" t="s">
        <v>393</v>
      </c>
      <c r="P75" t="s">
        <v>393</v>
      </c>
      <c r="Q75">
        <v>1</v>
      </c>
      <c r="W75">
        <v>0</v>
      </c>
      <c r="X75">
        <v>476480486</v>
      </c>
      <c r="Y75">
        <f>(AT75*3)</f>
        <v>1.6800000000000002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0.56000000000000005</v>
      </c>
      <c r="AU75" t="s">
        <v>163</v>
      </c>
      <c r="AV75">
        <v>1</v>
      </c>
      <c r="AW75">
        <v>2</v>
      </c>
      <c r="AX75">
        <v>1473082186</v>
      </c>
      <c r="AY75">
        <v>1</v>
      </c>
      <c r="AZ75">
        <v>0</v>
      </c>
      <c r="BA75">
        <v>160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ROUND(AT75*Source!I518*AH75*AL75,2)</f>
        <v>0</v>
      </c>
      <c r="CV75">
        <f>ROUND(Y75*Source!I518,9)</f>
        <v>0.16800000000000001</v>
      </c>
      <c r="CW75">
        <v>0</v>
      </c>
      <c r="CX75">
        <f>ROUND(Y75*Source!I518,9)</f>
        <v>0.16800000000000001</v>
      </c>
      <c r="CY75">
        <f>AD75</f>
        <v>0</v>
      </c>
      <c r="CZ75">
        <f>AH75</f>
        <v>0</v>
      </c>
      <c r="DA75">
        <f>AL75</f>
        <v>1</v>
      </c>
      <c r="DB75">
        <f>ROUND((ROUND(AT75*CZ75,2)*3),6)</f>
        <v>0</v>
      </c>
      <c r="DC75">
        <f>ROUND((ROUND(AT75*AG75,2)*3),6)</f>
        <v>0</v>
      </c>
      <c r="DD75" t="s">
        <v>3</v>
      </c>
      <c r="DE75" t="s">
        <v>3</v>
      </c>
      <c r="DF75">
        <f t="shared" si="18"/>
        <v>0</v>
      </c>
      <c r="DG75">
        <f t="shared" si="19"/>
        <v>0</v>
      </c>
      <c r="DH75">
        <f t="shared" si="20"/>
        <v>0</v>
      </c>
      <c r="DI75">
        <f t="shared" si="21"/>
        <v>0</v>
      </c>
      <c r="DJ75">
        <f>DI75</f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ROW(Source!A519)</f>
        <v>519</v>
      </c>
      <c r="B76">
        <v>1473080740</v>
      </c>
      <c r="C76">
        <v>1473082187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391</v>
      </c>
      <c r="J76" t="s">
        <v>3</v>
      </c>
      <c r="K76" t="s">
        <v>392</v>
      </c>
      <c r="L76">
        <v>1191</v>
      </c>
      <c r="N76">
        <v>1013</v>
      </c>
      <c r="O76" t="s">
        <v>393</v>
      </c>
      <c r="P76" t="s">
        <v>393</v>
      </c>
      <c r="Q76">
        <v>1</v>
      </c>
      <c r="W76">
        <v>0</v>
      </c>
      <c r="X76">
        <v>476480486</v>
      </c>
      <c r="Y76">
        <f>AT76</f>
        <v>0.16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0.16</v>
      </c>
      <c r="AU76" t="s">
        <v>3</v>
      </c>
      <c r="AV76">
        <v>1</v>
      </c>
      <c r="AW76">
        <v>2</v>
      </c>
      <c r="AX76">
        <v>1473082189</v>
      </c>
      <c r="AY76">
        <v>1</v>
      </c>
      <c r="AZ76">
        <v>0</v>
      </c>
      <c r="BA76">
        <v>161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U76">
        <f>ROUND(AT76*Source!I519*AH76*AL76,2)</f>
        <v>0</v>
      </c>
      <c r="CV76">
        <f>ROUND(Y76*Source!I519,9)</f>
        <v>0.16</v>
      </c>
      <c r="CW76">
        <v>0</v>
      </c>
      <c r="CX76">
        <f>ROUND(Y76*Source!I519,9)</f>
        <v>0.16</v>
      </c>
      <c r="CY76">
        <f>AD76</f>
        <v>0</v>
      </c>
      <c r="CZ76">
        <f>AH76</f>
        <v>0</v>
      </c>
      <c r="DA76">
        <f>AL76</f>
        <v>1</v>
      </c>
      <c r="DB76">
        <f>ROUND(ROUND(AT76*CZ76,2),6)</f>
        <v>0</v>
      </c>
      <c r="DC76">
        <f>ROUND(ROUND(AT76*AG76,2),6)</f>
        <v>0</v>
      </c>
      <c r="DD76" t="s">
        <v>3</v>
      </c>
      <c r="DE76" t="s">
        <v>3</v>
      </c>
      <c r="DF76">
        <f t="shared" si="18"/>
        <v>0</v>
      </c>
      <c r="DG76">
        <f t="shared" si="19"/>
        <v>0</v>
      </c>
      <c r="DH76">
        <f t="shared" si="20"/>
        <v>0</v>
      </c>
      <c r="DI76">
        <f t="shared" si="21"/>
        <v>0</v>
      </c>
      <c r="DJ76">
        <f>DI76</f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ROW(Source!A520)</f>
        <v>520</v>
      </c>
      <c r="B77">
        <v>1473080740</v>
      </c>
      <c r="C77">
        <v>1473082190</v>
      </c>
      <c r="D77">
        <v>1441819193</v>
      </c>
      <c r="E77">
        <v>15514512</v>
      </c>
      <c r="F77">
        <v>1</v>
      </c>
      <c r="G77">
        <v>15514512</v>
      </c>
      <c r="H77">
        <v>1</v>
      </c>
      <c r="I77" t="s">
        <v>391</v>
      </c>
      <c r="J77" t="s">
        <v>3</v>
      </c>
      <c r="K77" t="s">
        <v>392</v>
      </c>
      <c r="L77">
        <v>1191</v>
      </c>
      <c r="N77">
        <v>1013</v>
      </c>
      <c r="O77" t="s">
        <v>393</v>
      </c>
      <c r="P77" t="s">
        <v>393</v>
      </c>
      <c r="Q77">
        <v>1</v>
      </c>
      <c r="W77">
        <v>0</v>
      </c>
      <c r="X77">
        <v>476480486</v>
      </c>
      <c r="Y77">
        <f>(AT77*2)</f>
        <v>0.6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0.3</v>
      </c>
      <c r="AU77" t="s">
        <v>181</v>
      </c>
      <c r="AV77">
        <v>1</v>
      </c>
      <c r="AW77">
        <v>2</v>
      </c>
      <c r="AX77">
        <v>1473082194</v>
      </c>
      <c r="AY77">
        <v>1</v>
      </c>
      <c r="AZ77">
        <v>0</v>
      </c>
      <c r="BA77">
        <v>162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ROUND(AT77*Source!I520*AH77*AL77,2)</f>
        <v>0</v>
      </c>
      <c r="CV77">
        <f>ROUND(Y77*Source!I520,9)</f>
        <v>1.8</v>
      </c>
      <c r="CW77">
        <v>0</v>
      </c>
      <c r="CX77">
        <f>ROUND(Y77*Source!I520,9)</f>
        <v>1.8</v>
      </c>
      <c r="CY77">
        <f>AD77</f>
        <v>0</v>
      </c>
      <c r="CZ77">
        <f>AH77</f>
        <v>0</v>
      </c>
      <c r="DA77">
        <f>AL77</f>
        <v>1</v>
      </c>
      <c r="DB77">
        <f>ROUND((ROUND(AT77*CZ77,2)*2),6)</f>
        <v>0</v>
      </c>
      <c r="DC77">
        <f>ROUND((ROUND(AT77*AG77,2)*2),6)</f>
        <v>0</v>
      </c>
      <c r="DD77" t="s">
        <v>3</v>
      </c>
      <c r="DE77" t="s">
        <v>3</v>
      </c>
      <c r="DF77">
        <f t="shared" si="18"/>
        <v>0</v>
      </c>
      <c r="DG77">
        <f t="shared" si="19"/>
        <v>0</v>
      </c>
      <c r="DH77">
        <f t="shared" si="20"/>
        <v>0</v>
      </c>
      <c r="DI77">
        <f t="shared" si="21"/>
        <v>0</v>
      </c>
      <c r="DJ77">
        <f>DI77</f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ROW(Source!A520)</f>
        <v>520</v>
      </c>
      <c r="B78">
        <v>1473080740</v>
      </c>
      <c r="C78">
        <v>1473082190</v>
      </c>
      <c r="D78">
        <v>1441836235</v>
      </c>
      <c r="E78">
        <v>1</v>
      </c>
      <c r="F78">
        <v>1</v>
      </c>
      <c r="G78">
        <v>15514512</v>
      </c>
      <c r="H78">
        <v>3</v>
      </c>
      <c r="I78" t="s">
        <v>398</v>
      </c>
      <c r="J78" t="s">
        <v>399</v>
      </c>
      <c r="K78" t="s">
        <v>400</v>
      </c>
      <c r="L78">
        <v>1346</v>
      </c>
      <c r="N78">
        <v>1009</v>
      </c>
      <c r="O78" t="s">
        <v>401</v>
      </c>
      <c r="P78" t="s">
        <v>401</v>
      </c>
      <c r="Q78">
        <v>1</v>
      </c>
      <c r="W78">
        <v>0</v>
      </c>
      <c r="X78">
        <v>-1595335418</v>
      </c>
      <c r="Y78">
        <f>(AT78*2)</f>
        <v>0.1</v>
      </c>
      <c r="AA78">
        <v>31.49</v>
      </c>
      <c r="AB78">
        <v>0</v>
      </c>
      <c r="AC78">
        <v>0</v>
      </c>
      <c r="AD78">
        <v>0</v>
      </c>
      <c r="AE78">
        <v>31.49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0.05</v>
      </c>
      <c r="AU78" t="s">
        <v>181</v>
      </c>
      <c r="AV78">
        <v>0</v>
      </c>
      <c r="AW78">
        <v>2</v>
      </c>
      <c r="AX78">
        <v>1473082195</v>
      </c>
      <c r="AY78">
        <v>1</v>
      </c>
      <c r="AZ78">
        <v>0</v>
      </c>
      <c r="BA78">
        <v>163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ROUND(Y78*Source!I520,9)</f>
        <v>0.3</v>
      </c>
      <c r="CY78">
        <f>AA78</f>
        <v>31.49</v>
      </c>
      <c r="CZ78">
        <f>AE78</f>
        <v>31.49</v>
      </c>
      <c r="DA78">
        <f>AI78</f>
        <v>1</v>
      </c>
      <c r="DB78">
        <f>ROUND((ROUND(AT78*CZ78,2)*2),6)</f>
        <v>3.14</v>
      </c>
      <c r="DC78">
        <f>ROUND((ROUND(AT78*AG78,2)*2),6)</f>
        <v>0</v>
      </c>
      <c r="DD78" t="s">
        <v>3</v>
      </c>
      <c r="DE78" t="s">
        <v>3</v>
      </c>
      <c r="DF78">
        <f t="shared" si="18"/>
        <v>9.4499999999999993</v>
      </c>
      <c r="DG78">
        <f t="shared" si="19"/>
        <v>0</v>
      </c>
      <c r="DH78">
        <f t="shared" si="20"/>
        <v>0</v>
      </c>
      <c r="DI78">
        <f t="shared" si="21"/>
        <v>0</v>
      </c>
      <c r="DJ78">
        <f>DF78</f>
        <v>9.4499999999999993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ROW(Source!A520)</f>
        <v>520</v>
      </c>
      <c r="B79">
        <v>1473080740</v>
      </c>
      <c r="C79">
        <v>1473082190</v>
      </c>
      <c r="D79">
        <v>1441834628</v>
      </c>
      <c r="E79">
        <v>1</v>
      </c>
      <c r="F79">
        <v>1</v>
      </c>
      <c r="G79">
        <v>15514512</v>
      </c>
      <c r="H79">
        <v>3</v>
      </c>
      <c r="I79" t="s">
        <v>447</v>
      </c>
      <c r="J79" t="s">
        <v>448</v>
      </c>
      <c r="K79" t="s">
        <v>449</v>
      </c>
      <c r="L79">
        <v>1348</v>
      </c>
      <c r="N79">
        <v>1009</v>
      </c>
      <c r="O79" t="s">
        <v>412</v>
      </c>
      <c r="P79" t="s">
        <v>412</v>
      </c>
      <c r="Q79">
        <v>1000</v>
      </c>
      <c r="W79">
        <v>0</v>
      </c>
      <c r="X79">
        <v>779500846</v>
      </c>
      <c r="Y79">
        <f>(AT79*2)</f>
        <v>8.0000000000000007E-5</v>
      </c>
      <c r="AA79">
        <v>73951.73</v>
      </c>
      <c r="AB79">
        <v>0</v>
      </c>
      <c r="AC79">
        <v>0</v>
      </c>
      <c r="AD79">
        <v>0</v>
      </c>
      <c r="AE79">
        <v>73951.73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4.0000000000000003E-5</v>
      </c>
      <c r="AU79" t="s">
        <v>181</v>
      </c>
      <c r="AV79">
        <v>0</v>
      </c>
      <c r="AW79">
        <v>2</v>
      </c>
      <c r="AX79">
        <v>1473082196</v>
      </c>
      <c r="AY79">
        <v>1</v>
      </c>
      <c r="AZ79">
        <v>0</v>
      </c>
      <c r="BA79">
        <v>164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ROUND(Y79*Source!I520,9)</f>
        <v>2.4000000000000001E-4</v>
      </c>
      <c r="CY79">
        <f>AA79</f>
        <v>73951.73</v>
      </c>
      <c r="CZ79">
        <f>AE79</f>
        <v>73951.73</v>
      </c>
      <c r="DA79">
        <f>AI79</f>
        <v>1</v>
      </c>
      <c r="DB79">
        <f>ROUND((ROUND(AT79*CZ79,2)*2),6)</f>
        <v>5.92</v>
      </c>
      <c r="DC79">
        <f>ROUND((ROUND(AT79*AG79,2)*2),6)</f>
        <v>0</v>
      </c>
      <c r="DD79" t="s">
        <v>3</v>
      </c>
      <c r="DE79" t="s">
        <v>3</v>
      </c>
      <c r="DF79">
        <f t="shared" si="18"/>
        <v>17.75</v>
      </c>
      <c r="DG79">
        <f t="shared" si="19"/>
        <v>0</v>
      </c>
      <c r="DH79">
        <f t="shared" si="20"/>
        <v>0</v>
      </c>
      <c r="DI79">
        <f t="shared" si="21"/>
        <v>0</v>
      </c>
      <c r="DJ79">
        <f>DF79</f>
        <v>17.75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ROW(Source!A521)</f>
        <v>521</v>
      </c>
      <c r="B80">
        <v>1473080740</v>
      </c>
      <c r="C80">
        <v>1473082197</v>
      </c>
      <c r="D80">
        <v>1441819193</v>
      </c>
      <c r="E80">
        <v>15514512</v>
      </c>
      <c r="F80">
        <v>1</v>
      </c>
      <c r="G80">
        <v>15514512</v>
      </c>
      <c r="H80">
        <v>1</v>
      </c>
      <c r="I80" t="s">
        <v>391</v>
      </c>
      <c r="J80" t="s">
        <v>3</v>
      </c>
      <c r="K80" t="s">
        <v>392</v>
      </c>
      <c r="L80">
        <v>1191</v>
      </c>
      <c r="N80">
        <v>1013</v>
      </c>
      <c r="O80" t="s">
        <v>393</v>
      </c>
      <c r="P80" t="s">
        <v>393</v>
      </c>
      <c r="Q80">
        <v>1</v>
      </c>
      <c r="W80">
        <v>0</v>
      </c>
      <c r="X80">
        <v>476480486</v>
      </c>
      <c r="Y80">
        <f>(AT80*4)</f>
        <v>0.68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0.17</v>
      </c>
      <c r="AU80" t="s">
        <v>28</v>
      </c>
      <c r="AV80">
        <v>1</v>
      </c>
      <c r="AW80">
        <v>2</v>
      </c>
      <c r="AX80">
        <v>1473082202</v>
      </c>
      <c r="AY80">
        <v>1</v>
      </c>
      <c r="AZ80">
        <v>0</v>
      </c>
      <c r="BA80">
        <v>165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ROUND(AT80*Source!I521*AH80*AL80,2)</f>
        <v>0</v>
      </c>
      <c r="CV80">
        <f>ROUND(Y80*Source!I521,9)</f>
        <v>0.68</v>
      </c>
      <c r="CW80">
        <v>0</v>
      </c>
      <c r="CX80">
        <f>ROUND(Y80*Source!I521,9)</f>
        <v>0.68</v>
      </c>
      <c r="CY80">
        <f>AD80</f>
        <v>0</v>
      </c>
      <c r="CZ80">
        <f>AH80</f>
        <v>0</v>
      </c>
      <c r="DA80">
        <f>AL80</f>
        <v>1</v>
      </c>
      <c r="DB80">
        <f>ROUND((ROUND(AT80*CZ80,2)*4),6)</f>
        <v>0</v>
      </c>
      <c r="DC80">
        <f>ROUND((ROUND(AT80*AG80,2)*4),6)</f>
        <v>0</v>
      </c>
      <c r="DD80" t="s">
        <v>3</v>
      </c>
      <c r="DE80" t="s">
        <v>3</v>
      </c>
      <c r="DF80">
        <f t="shared" si="18"/>
        <v>0</v>
      </c>
      <c r="DG80">
        <f t="shared" si="19"/>
        <v>0</v>
      </c>
      <c r="DH80">
        <f t="shared" si="20"/>
        <v>0</v>
      </c>
      <c r="DI80">
        <f t="shared" si="21"/>
        <v>0</v>
      </c>
      <c r="DJ80">
        <f>DI80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ROW(Source!A521)</f>
        <v>521</v>
      </c>
      <c r="B81">
        <v>1473080740</v>
      </c>
      <c r="C81">
        <v>1473082197</v>
      </c>
      <c r="D81">
        <v>1441834258</v>
      </c>
      <c r="E81">
        <v>1</v>
      </c>
      <c r="F81">
        <v>1</v>
      </c>
      <c r="G81">
        <v>15514512</v>
      </c>
      <c r="H81">
        <v>2</v>
      </c>
      <c r="I81" t="s">
        <v>394</v>
      </c>
      <c r="J81" t="s">
        <v>395</v>
      </c>
      <c r="K81" t="s">
        <v>396</v>
      </c>
      <c r="L81">
        <v>1368</v>
      </c>
      <c r="N81">
        <v>1011</v>
      </c>
      <c r="O81" t="s">
        <v>397</v>
      </c>
      <c r="P81" t="s">
        <v>397</v>
      </c>
      <c r="Q81">
        <v>1</v>
      </c>
      <c r="W81">
        <v>0</v>
      </c>
      <c r="X81">
        <v>1077756263</v>
      </c>
      <c r="Y81">
        <f>(AT81*4)</f>
        <v>0.04</v>
      </c>
      <c r="AA81">
        <v>0</v>
      </c>
      <c r="AB81">
        <v>1303.01</v>
      </c>
      <c r="AC81">
        <v>826.2</v>
      </c>
      <c r="AD81">
        <v>0</v>
      </c>
      <c r="AE81">
        <v>0</v>
      </c>
      <c r="AF81">
        <v>1303.01</v>
      </c>
      <c r="AG81">
        <v>826.2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0.01</v>
      </c>
      <c r="AU81" t="s">
        <v>28</v>
      </c>
      <c r="AV81">
        <v>0</v>
      </c>
      <c r="AW81">
        <v>2</v>
      </c>
      <c r="AX81">
        <v>1473082203</v>
      </c>
      <c r="AY81">
        <v>1</v>
      </c>
      <c r="AZ81">
        <v>0</v>
      </c>
      <c r="BA81">
        <v>166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ROUND(Y81*Source!I521*DO81,9)</f>
        <v>0</v>
      </c>
      <c r="CX81">
        <f>ROUND(Y81*Source!I521,9)</f>
        <v>0.04</v>
      </c>
      <c r="CY81">
        <f>AB81</f>
        <v>1303.01</v>
      </c>
      <c r="CZ81">
        <f>AF81</f>
        <v>1303.01</v>
      </c>
      <c r="DA81">
        <f>AJ81</f>
        <v>1</v>
      </c>
      <c r="DB81">
        <f>ROUND((ROUND(AT81*CZ81,2)*4),6)</f>
        <v>52.12</v>
      </c>
      <c r="DC81">
        <f>ROUND((ROUND(AT81*AG81,2)*4),6)</f>
        <v>33.04</v>
      </c>
      <c r="DD81" t="s">
        <v>3</v>
      </c>
      <c r="DE81" t="s">
        <v>3</v>
      </c>
      <c r="DF81">
        <f t="shared" si="18"/>
        <v>0</v>
      </c>
      <c r="DG81">
        <f t="shared" si="19"/>
        <v>52.12</v>
      </c>
      <c r="DH81">
        <f t="shared" si="20"/>
        <v>33.049999999999997</v>
      </c>
      <c r="DI81">
        <f t="shared" si="21"/>
        <v>0</v>
      </c>
      <c r="DJ81">
        <f>DG81</f>
        <v>52.12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ROW(Source!A521)</f>
        <v>521</v>
      </c>
      <c r="B82">
        <v>1473080740</v>
      </c>
      <c r="C82">
        <v>1473082197</v>
      </c>
      <c r="D82">
        <v>1441836186</v>
      </c>
      <c r="E82">
        <v>1</v>
      </c>
      <c r="F82">
        <v>1</v>
      </c>
      <c r="G82">
        <v>15514512</v>
      </c>
      <c r="H82">
        <v>3</v>
      </c>
      <c r="I82" t="s">
        <v>441</v>
      </c>
      <c r="J82" t="s">
        <v>442</v>
      </c>
      <c r="K82" t="s">
        <v>443</v>
      </c>
      <c r="L82">
        <v>1346</v>
      </c>
      <c r="N82">
        <v>1009</v>
      </c>
      <c r="O82" t="s">
        <v>401</v>
      </c>
      <c r="P82" t="s">
        <v>401</v>
      </c>
      <c r="Q82">
        <v>1</v>
      </c>
      <c r="W82">
        <v>0</v>
      </c>
      <c r="X82">
        <v>1299790764</v>
      </c>
      <c r="Y82">
        <f>(AT82*4)</f>
        <v>0.04</v>
      </c>
      <c r="AA82">
        <v>494.57</v>
      </c>
      <c r="AB82">
        <v>0</v>
      </c>
      <c r="AC82">
        <v>0</v>
      </c>
      <c r="AD82">
        <v>0</v>
      </c>
      <c r="AE82">
        <v>494.57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0.01</v>
      </c>
      <c r="AU82" t="s">
        <v>28</v>
      </c>
      <c r="AV82">
        <v>0</v>
      </c>
      <c r="AW82">
        <v>2</v>
      </c>
      <c r="AX82">
        <v>1473082204</v>
      </c>
      <c r="AY82">
        <v>1</v>
      </c>
      <c r="AZ82">
        <v>0</v>
      </c>
      <c r="BA82">
        <v>167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ROUND(Y82*Source!I521,9)</f>
        <v>0.04</v>
      </c>
      <c r="CY82">
        <f>AA82</f>
        <v>494.57</v>
      </c>
      <c r="CZ82">
        <f>AE82</f>
        <v>494.57</v>
      </c>
      <c r="DA82">
        <f>AI82</f>
        <v>1</v>
      </c>
      <c r="DB82">
        <f>ROUND((ROUND(AT82*CZ82,2)*4),6)</f>
        <v>19.8</v>
      </c>
      <c r="DC82">
        <f>ROUND((ROUND(AT82*AG82,2)*4),6)</f>
        <v>0</v>
      </c>
      <c r="DD82" t="s">
        <v>3</v>
      </c>
      <c r="DE82" t="s">
        <v>3</v>
      </c>
      <c r="DF82">
        <f t="shared" si="18"/>
        <v>19.78</v>
      </c>
      <c r="DG82">
        <f t="shared" si="19"/>
        <v>0</v>
      </c>
      <c r="DH82">
        <f t="shared" si="20"/>
        <v>0</v>
      </c>
      <c r="DI82">
        <f t="shared" si="21"/>
        <v>0</v>
      </c>
      <c r="DJ82">
        <f>DF82</f>
        <v>19.78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ROW(Source!A521)</f>
        <v>521</v>
      </c>
      <c r="B83">
        <v>1473080740</v>
      </c>
      <c r="C83">
        <v>1473082197</v>
      </c>
      <c r="D83">
        <v>1441836230</v>
      </c>
      <c r="E83">
        <v>1</v>
      </c>
      <c r="F83">
        <v>1</v>
      </c>
      <c r="G83">
        <v>15514512</v>
      </c>
      <c r="H83">
        <v>3</v>
      </c>
      <c r="I83" t="s">
        <v>444</v>
      </c>
      <c r="J83" t="s">
        <v>445</v>
      </c>
      <c r="K83" t="s">
        <v>446</v>
      </c>
      <c r="L83">
        <v>1327</v>
      </c>
      <c r="N83">
        <v>1005</v>
      </c>
      <c r="O83" t="s">
        <v>430</v>
      </c>
      <c r="P83" t="s">
        <v>430</v>
      </c>
      <c r="Q83">
        <v>1</v>
      </c>
      <c r="W83">
        <v>0</v>
      </c>
      <c r="X83">
        <v>-843547561</v>
      </c>
      <c r="Y83">
        <f>(AT83*4)</f>
        <v>0.08</v>
      </c>
      <c r="AA83">
        <v>46</v>
      </c>
      <c r="AB83">
        <v>0</v>
      </c>
      <c r="AC83">
        <v>0</v>
      </c>
      <c r="AD83">
        <v>0</v>
      </c>
      <c r="AE83">
        <v>46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0.02</v>
      </c>
      <c r="AU83" t="s">
        <v>28</v>
      </c>
      <c r="AV83">
        <v>0</v>
      </c>
      <c r="AW83">
        <v>2</v>
      </c>
      <c r="AX83">
        <v>1473082205</v>
      </c>
      <c r="AY83">
        <v>1</v>
      </c>
      <c r="AZ83">
        <v>0</v>
      </c>
      <c r="BA83">
        <v>168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ROUND(Y83*Source!I521,9)</f>
        <v>0.08</v>
      </c>
      <c r="CY83">
        <f>AA83</f>
        <v>46</v>
      </c>
      <c r="CZ83">
        <f>AE83</f>
        <v>46</v>
      </c>
      <c r="DA83">
        <f>AI83</f>
        <v>1</v>
      </c>
      <c r="DB83">
        <f>ROUND((ROUND(AT83*CZ83,2)*4),6)</f>
        <v>3.68</v>
      </c>
      <c r="DC83">
        <f>ROUND((ROUND(AT83*AG83,2)*4),6)</f>
        <v>0</v>
      </c>
      <c r="DD83" t="s">
        <v>3</v>
      </c>
      <c r="DE83" t="s">
        <v>3</v>
      </c>
      <c r="DF83">
        <f t="shared" si="18"/>
        <v>3.68</v>
      </c>
      <c r="DG83">
        <f t="shared" si="19"/>
        <v>0</v>
      </c>
      <c r="DH83">
        <f t="shared" si="20"/>
        <v>0</v>
      </c>
      <c r="DI83">
        <f t="shared" si="21"/>
        <v>0</v>
      </c>
      <c r="DJ83">
        <f>DF83</f>
        <v>3.68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ROW(Source!A522)</f>
        <v>522</v>
      </c>
      <c r="B84">
        <v>1473080740</v>
      </c>
      <c r="C84">
        <v>1473082206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391</v>
      </c>
      <c r="J84" t="s">
        <v>3</v>
      </c>
      <c r="K84" t="s">
        <v>392</v>
      </c>
      <c r="L84">
        <v>1191</v>
      </c>
      <c r="N84">
        <v>1013</v>
      </c>
      <c r="O84" t="s">
        <v>393</v>
      </c>
      <c r="P84" t="s">
        <v>393</v>
      </c>
      <c r="Q84">
        <v>1</v>
      </c>
      <c r="W84">
        <v>0</v>
      </c>
      <c r="X84">
        <v>476480486</v>
      </c>
      <c r="Y84">
        <f>(AT84*2)</f>
        <v>0.6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0.3</v>
      </c>
      <c r="AU84" t="s">
        <v>181</v>
      </c>
      <c r="AV84">
        <v>1</v>
      </c>
      <c r="AW84">
        <v>2</v>
      </c>
      <c r="AX84">
        <v>1473082210</v>
      </c>
      <c r="AY84">
        <v>1</v>
      </c>
      <c r="AZ84">
        <v>0</v>
      </c>
      <c r="BA84">
        <v>169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U84">
        <f>ROUND(AT84*Source!I522*AH84*AL84,2)</f>
        <v>0</v>
      </c>
      <c r="CV84">
        <f>ROUND(Y84*Source!I522,9)</f>
        <v>2.4</v>
      </c>
      <c r="CW84">
        <v>0</v>
      </c>
      <c r="CX84">
        <f>ROUND(Y84*Source!I522,9)</f>
        <v>2.4</v>
      </c>
      <c r="CY84">
        <f>AD84</f>
        <v>0</v>
      </c>
      <c r="CZ84">
        <f>AH84</f>
        <v>0</v>
      </c>
      <c r="DA84">
        <f>AL84</f>
        <v>1</v>
      </c>
      <c r="DB84">
        <f>ROUND((ROUND(AT84*CZ84,2)*2),6)</f>
        <v>0</v>
      </c>
      <c r="DC84">
        <f>ROUND((ROUND(AT84*AG84,2)*2),6)</f>
        <v>0</v>
      </c>
      <c r="DD84" t="s">
        <v>3</v>
      </c>
      <c r="DE84" t="s">
        <v>3</v>
      </c>
      <c r="DF84">
        <f t="shared" si="18"/>
        <v>0</v>
      </c>
      <c r="DG84">
        <f t="shared" si="19"/>
        <v>0</v>
      </c>
      <c r="DH84">
        <f t="shared" si="20"/>
        <v>0</v>
      </c>
      <c r="DI84">
        <f t="shared" si="21"/>
        <v>0</v>
      </c>
      <c r="DJ84">
        <f>DI84</f>
        <v>0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ROW(Source!A522)</f>
        <v>522</v>
      </c>
      <c r="B85">
        <v>1473080740</v>
      </c>
      <c r="C85">
        <v>1473082206</v>
      </c>
      <c r="D85">
        <v>1441836235</v>
      </c>
      <c r="E85">
        <v>1</v>
      </c>
      <c r="F85">
        <v>1</v>
      </c>
      <c r="G85">
        <v>15514512</v>
      </c>
      <c r="H85">
        <v>3</v>
      </c>
      <c r="I85" t="s">
        <v>398</v>
      </c>
      <c r="J85" t="s">
        <v>399</v>
      </c>
      <c r="K85" t="s">
        <v>400</v>
      </c>
      <c r="L85">
        <v>1346</v>
      </c>
      <c r="N85">
        <v>1009</v>
      </c>
      <c r="O85" t="s">
        <v>401</v>
      </c>
      <c r="P85" t="s">
        <v>401</v>
      </c>
      <c r="Q85">
        <v>1</v>
      </c>
      <c r="W85">
        <v>0</v>
      </c>
      <c r="X85">
        <v>-1595335418</v>
      </c>
      <c r="Y85">
        <f>(AT85*2)</f>
        <v>0.1</v>
      </c>
      <c r="AA85">
        <v>31.49</v>
      </c>
      <c r="AB85">
        <v>0</v>
      </c>
      <c r="AC85">
        <v>0</v>
      </c>
      <c r="AD85">
        <v>0</v>
      </c>
      <c r="AE85">
        <v>31.49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0.05</v>
      </c>
      <c r="AU85" t="s">
        <v>181</v>
      </c>
      <c r="AV85">
        <v>0</v>
      </c>
      <c r="AW85">
        <v>2</v>
      </c>
      <c r="AX85">
        <v>1473082211</v>
      </c>
      <c r="AY85">
        <v>1</v>
      </c>
      <c r="AZ85">
        <v>0</v>
      </c>
      <c r="BA85">
        <v>170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ROUND(Y85*Source!I522,9)</f>
        <v>0.4</v>
      </c>
      <c r="CY85">
        <f>AA85</f>
        <v>31.49</v>
      </c>
      <c r="CZ85">
        <f>AE85</f>
        <v>31.49</v>
      </c>
      <c r="DA85">
        <f>AI85</f>
        <v>1</v>
      </c>
      <c r="DB85">
        <f>ROUND((ROUND(AT85*CZ85,2)*2),6)</f>
        <v>3.14</v>
      </c>
      <c r="DC85">
        <f>ROUND((ROUND(AT85*AG85,2)*2),6)</f>
        <v>0</v>
      </c>
      <c r="DD85" t="s">
        <v>3</v>
      </c>
      <c r="DE85" t="s">
        <v>3</v>
      </c>
      <c r="DF85">
        <f t="shared" si="18"/>
        <v>12.6</v>
      </c>
      <c r="DG85">
        <f t="shared" si="19"/>
        <v>0</v>
      </c>
      <c r="DH85">
        <f t="shared" si="20"/>
        <v>0</v>
      </c>
      <c r="DI85">
        <f t="shared" si="21"/>
        <v>0</v>
      </c>
      <c r="DJ85">
        <f>DF85</f>
        <v>12.6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ROW(Source!A522)</f>
        <v>522</v>
      </c>
      <c r="B86">
        <v>1473080740</v>
      </c>
      <c r="C86">
        <v>1473082206</v>
      </c>
      <c r="D86">
        <v>1441834628</v>
      </c>
      <c r="E86">
        <v>1</v>
      </c>
      <c r="F86">
        <v>1</v>
      </c>
      <c r="G86">
        <v>15514512</v>
      </c>
      <c r="H86">
        <v>3</v>
      </c>
      <c r="I86" t="s">
        <v>447</v>
      </c>
      <c r="J86" t="s">
        <v>448</v>
      </c>
      <c r="K86" t="s">
        <v>449</v>
      </c>
      <c r="L86">
        <v>1348</v>
      </c>
      <c r="N86">
        <v>1009</v>
      </c>
      <c r="O86" t="s">
        <v>412</v>
      </c>
      <c r="P86" t="s">
        <v>412</v>
      </c>
      <c r="Q86">
        <v>1000</v>
      </c>
      <c r="W86">
        <v>0</v>
      </c>
      <c r="X86">
        <v>779500846</v>
      </c>
      <c r="Y86">
        <f>(AT86*2)</f>
        <v>8.0000000000000007E-5</v>
      </c>
      <c r="AA86">
        <v>73951.73</v>
      </c>
      <c r="AB86">
        <v>0</v>
      </c>
      <c r="AC86">
        <v>0</v>
      </c>
      <c r="AD86">
        <v>0</v>
      </c>
      <c r="AE86">
        <v>73951.73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4.0000000000000003E-5</v>
      </c>
      <c r="AU86" t="s">
        <v>181</v>
      </c>
      <c r="AV86">
        <v>0</v>
      </c>
      <c r="AW86">
        <v>2</v>
      </c>
      <c r="AX86">
        <v>1473082212</v>
      </c>
      <c r="AY86">
        <v>1</v>
      </c>
      <c r="AZ86">
        <v>0</v>
      </c>
      <c r="BA86">
        <v>171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ROUND(Y86*Source!I522,9)</f>
        <v>3.2000000000000003E-4</v>
      </c>
      <c r="CY86">
        <f>AA86</f>
        <v>73951.73</v>
      </c>
      <c r="CZ86">
        <f>AE86</f>
        <v>73951.73</v>
      </c>
      <c r="DA86">
        <f>AI86</f>
        <v>1</v>
      </c>
      <c r="DB86">
        <f>ROUND((ROUND(AT86*CZ86,2)*2),6)</f>
        <v>5.92</v>
      </c>
      <c r="DC86">
        <f>ROUND((ROUND(AT86*AG86,2)*2),6)</f>
        <v>0</v>
      </c>
      <c r="DD86" t="s">
        <v>3</v>
      </c>
      <c r="DE86" t="s">
        <v>3</v>
      </c>
      <c r="DF86">
        <f t="shared" si="18"/>
        <v>23.66</v>
      </c>
      <c r="DG86">
        <f t="shared" si="19"/>
        <v>0</v>
      </c>
      <c r="DH86">
        <f t="shared" si="20"/>
        <v>0</v>
      </c>
      <c r="DI86">
        <f t="shared" si="21"/>
        <v>0</v>
      </c>
      <c r="DJ86">
        <f>DF86</f>
        <v>23.66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ROW(Source!A523)</f>
        <v>523</v>
      </c>
      <c r="B87">
        <v>1473080740</v>
      </c>
      <c r="C87">
        <v>1473082213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391</v>
      </c>
      <c r="J87" t="s">
        <v>3</v>
      </c>
      <c r="K87" t="s">
        <v>392</v>
      </c>
      <c r="L87">
        <v>1191</v>
      </c>
      <c r="N87">
        <v>1013</v>
      </c>
      <c r="O87" t="s">
        <v>393</v>
      </c>
      <c r="P87" t="s">
        <v>393</v>
      </c>
      <c r="Q87">
        <v>1</v>
      </c>
      <c r="W87">
        <v>0</v>
      </c>
      <c r="X87">
        <v>476480486</v>
      </c>
      <c r="Y87">
        <f>(AT87*3)</f>
        <v>1.6800000000000002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0.56000000000000005</v>
      </c>
      <c r="AU87" t="s">
        <v>163</v>
      </c>
      <c r="AV87">
        <v>1</v>
      </c>
      <c r="AW87">
        <v>2</v>
      </c>
      <c r="AX87">
        <v>1473082215</v>
      </c>
      <c r="AY87">
        <v>1</v>
      </c>
      <c r="AZ87">
        <v>0</v>
      </c>
      <c r="BA87">
        <v>172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ROUND(AT87*Source!I523*AH87*AL87,2)</f>
        <v>0</v>
      </c>
      <c r="CV87">
        <f>ROUND(Y87*Source!I523,9)</f>
        <v>0.16800000000000001</v>
      </c>
      <c r="CW87">
        <v>0</v>
      </c>
      <c r="CX87">
        <f>ROUND(Y87*Source!I523,9)</f>
        <v>0.16800000000000001</v>
      </c>
      <c r="CY87">
        <f>AD87</f>
        <v>0</v>
      </c>
      <c r="CZ87">
        <f>AH87</f>
        <v>0</v>
      </c>
      <c r="DA87">
        <f>AL87</f>
        <v>1</v>
      </c>
      <c r="DB87">
        <f>ROUND((ROUND(AT87*CZ87,2)*3),6)</f>
        <v>0</v>
      </c>
      <c r="DC87">
        <f>ROUND((ROUND(AT87*AG87,2)*3),6)</f>
        <v>0</v>
      </c>
      <c r="DD87" t="s">
        <v>3</v>
      </c>
      <c r="DE87" t="s">
        <v>3</v>
      </c>
      <c r="DF87">
        <f t="shared" si="18"/>
        <v>0</v>
      </c>
      <c r="DG87">
        <f t="shared" si="19"/>
        <v>0</v>
      </c>
      <c r="DH87">
        <f t="shared" si="20"/>
        <v>0</v>
      </c>
      <c r="DI87">
        <f t="shared" si="21"/>
        <v>0</v>
      </c>
      <c r="DJ87">
        <f>DI87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ROW(Source!A524)</f>
        <v>524</v>
      </c>
      <c r="B88">
        <v>1473080740</v>
      </c>
      <c r="C88">
        <v>1473082216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391</v>
      </c>
      <c r="J88" t="s">
        <v>3</v>
      </c>
      <c r="K88" t="s">
        <v>392</v>
      </c>
      <c r="L88">
        <v>1191</v>
      </c>
      <c r="N88">
        <v>1013</v>
      </c>
      <c r="O88" t="s">
        <v>393</v>
      </c>
      <c r="P88" t="s">
        <v>393</v>
      </c>
      <c r="Q88">
        <v>1</v>
      </c>
      <c r="W88">
        <v>0</v>
      </c>
      <c r="X88">
        <v>476480486</v>
      </c>
      <c r="Y88">
        <f>AT88</f>
        <v>0.16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0.16</v>
      </c>
      <c r="AU88" t="s">
        <v>3</v>
      </c>
      <c r="AV88">
        <v>1</v>
      </c>
      <c r="AW88">
        <v>2</v>
      </c>
      <c r="AX88">
        <v>1473082218</v>
      </c>
      <c r="AY88">
        <v>1</v>
      </c>
      <c r="AZ88">
        <v>0</v>
      </c>
      <c r="BA88">
        <v>173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ROUND(AT88*Source!I524*AH88*AL88,2)</f>
        <v>0</v>
      </c>
      <c r="CV88">
        <f>ROUND(Y88*Source!I524,9)</f>
        <v>0.16</v>
      </c>
      <c r="CW88">
        <v>0</v>
      </c>
      <c r="CX88">
        <f>ROUND(Y88*Source!I524,9)</f>
        <v>0.16</v>
      </c>
      <c r="CY88">
        <f>AD88</f>
        <v>0</v>
      </c>
      <c r="CZ88">
        <f>AH88</f>
        <v>0</v>
      </c>
      <c r="DA88">
        <f>AL88</f>
        <v>1</v>
      </c>
      <c r="DB88">
        <f>ROUND(ROUND(AT88*CZ88,2),6)</f>
        <v>0</v>
      </c>
      <c r="DC88">
        <f>ROUND(ROUND(AT88*AG88,2),6)</f>
        <v>0</v>
      </c>
      <c r="DD88" t="s">
        <v>3</v>
      </c>
      <c r="DE88" t="s">
        <v>3</v>
      </c>
      <c r="DF88">
        <f t="shared" si="18"/>
        <v>0</v>
      </c>
      <c r="DG88">
        <f t="shared" si="19"/>
        <v>0</v>
      </c>
      <c r="DH88">
        <f t="shared" si="20"/>
        <v>0</v>
      </c>
      <c r="DI88">
        <f t="shared" si="21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ROW(Source!A525)</f>
        <v>525</v>
      </c>
      <c r="B89">
        <v>1473080740</v>
      </c>
      <c r="C89">
        <v>1473082219</v>
      </c>
      <c r="D89">
        <v>1441819193</v>
      </c>
      <c r="E89">
        <v>15514512</v>
      </c>
      <c r="F89">
        <v>1</v>
      </c>
      <c r="G89">
        <v>15514512</v>
      </c>
      <c r="H89">
        <v>1</v>
      </c>
      <c r="I89" t="s">
        <v>391</v>
      </c>
      <c r="J89" t="s">
        <v>3</v>
      </c>
      <c r="K89" t="s">
        <v>392</v>
      </c>
      <c r="L89">
        <v>1191</v>
      </c>
      <c r="N89">
        <v>1013</v>
      </c>
      <c r="O89" t="s">
        <v>393</v>
      </c>
      <c r="P89" t="s">
        <v>393</v>
      </c>
      <c r="Q89">
        <v>1</v>
      </c>
      <c r="W89">
        <v>0</v>
      </c>
      <c r="X89">
        <v>476480486</v>
      </c>
      <c r="Y89">
        <f>(AT89*2)</f>
        <v>0.6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0.3</v>
      </c>
      <c r="AU89" t="s">
        <v>181</v>
      </c>
      <c r="AV89">
        <v>1</v>
      </c>
      <c r="AW89">
        <v>2</v>
      </c>
      <c r="AX89">
        <v>1473082223</v>
      </c>
      <c r="AY89">
        <v>1</v>
      </c>
      <c r="AZ89">
        <v>0</v>
      </c>
      <c r="BA89">
        <v>174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ROUND(AT89*Source!I525*AH89*AL89,2)</f>
        <v>0</v>
      </c>
      <c r="CV89">
        <f>ROUND(Y89*Source!I525,9)</f>
        <v>1.2</v>
      </c>
      <c r="CW89">
        <v>0</v>
      </c>
      <c r="CX89">
        <f>ROUND(Y89*Source!I525,9)</f>
        <v>1.2</v>
      </c>
      <c r="CY89">
        <f>AD89</f>
        <v>0</v>
      </c>
      <c r="CZ89">
        <f>AH89</f>
        <v>0</v>
      </c>
      <c r="DA89">
        <f>AL89</f>
        <v>1</v>
      </c>
      <c r="DB89">
        <f>ROUND((ROUND(AT89*CZ89,2)*2),6)</f>
        <v>0</v>
      </c>
      <c r="DC89">
        <f>ROUND((ROUND(AT89*AG89,2)*2),6)</f>
        <v>0</v>
      </c>
      <c r="DD89" t="s">
        <v>3</v>
      </c>
      <c r="DE89" t="s">
        <v>3</v>
      </c>
      <c r="DF89">
        <f t="shared" si="18"/>
        <v>0</v>
      </c>
      <c r="DG89">
        <f t="shared" si="19"/>
        <v>0</v>
      </c>
      <c r="DH89">
        <f t="shared" si="20"/>
        <v>0</v>
      </c>
      <c r="DI89">
        <f t="shared" si="21"/>
        <v>0</v>
      </c>
      <c r="DJ89">
        <f>DI89</f>
        <v>0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ROW(Source!A525)</f>
        <v>525</v>
      </c>
      <c r="B90">
        <v>1473080740</v>
      </c>
      <c r="C90">
        <v>1473082219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398</v>
      </c>
      <c r="J90" t="s">
        <v>399</v>
      </c>
      <c r="K90" t="s">
        <v>400</v>
      </c>
      <c r="L90">
        <v>1346</v>
      </c>
      <c r="N90">
        <v>1009</v>
      </c>
      <c r="O90" t="s">
        <v>401</v>
      </c>
      <c r="P90" t="s">
        <v>401</v>
      </c>
      <c r="Q90">
        <v>1</v>
      </c>
      <c r="W90">
        <v>0</v>
      </c>
      <c r="X90">
        <v>-1595335418</v>
      </c>
      <c r="Y90">
        <f>(AT90*2)</f>
        <v>0.1</v>
      </c>
      <c r="AA90">
        <v>31.49</v>
      </c>
      <c r="AB90">
        <v>0</v>
      </c>
      <c r="AC90">
        <v>0</v>
      </c>
      <c r="AD90">
        <v>0</v>
      </c>
      <c r="AE90">
        <v>31.49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0.05</v>
      </c>
      <c r="AU90" t="s">
        <v>181</v>
      </c>
      <c r="AV90">
        <v>0</v>
      </c>
      <c r="AW90">
        <v>2</v>
      </c>
      <c r="AX90">
        <v>1473082224</v>
      </c>
      <c r="AY90">
        <v>1</v>
      </c>
      <c r="AZ90">
        <v>0</v>
      </c>
      <c r="BA90">
        <v>175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ROUND(Y90*Source!I525,9)</f>
        <v>0.2</v>
      </c>
      <c r="CY90">
        <f>AA90</f>
        <v>31.49</v>
      </c>
      <c r="CZ90">
        <f>AE90</f>
        <v>31.49</v>
      </c>
      <c r="DA90">
        <f>AI90</f>
        <v>1</v>
      </c>
      <c r="DB90">
        <f>ROUND((ROUND(AT90*CZ90,2)*2),6)</f>
        <v>3.14</v>
      </c>
      <c r="DC90">
        <f>ROUND((ROUND(AT90*AG90,2)*2),6)</f>
        <v>0</v>
      </c>
      <c r="DD90" t="s">
        <v>3</v>
      </c>
      <c r="DE90" t="s">
        <v>3</v>
      </c>
      <c r="DF90">
        <f t="shared" si="18"/>
        <v>6.3</v>
      </c>
      <c r="DG90">
        <f t="shared" si="19"/>
        <v>0</v>
      </c>
      <c r="DH90">
        <f t="shared" si="20"/>
        <v>0</v>
      </c>
      <c r="DI90">
        <f t="shared" si="21"/>
        <v>0</v>
      </c>
      <c r="DJ90">
        <f>DF90</f>
        <v>6.3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ROW(Source!A525)</f>
        <v>525</v>
      </c>
      <c r="B91">
        <v>1473080740</v>
      </c>
      <c r="C91">
        <v>1473082219</v>
      </c>
      <c r="D91">
        <v>1441834628</v>
      </c>
      <c r="E91">
        <v>1</v>
      </c>
      <c r="F91">
        <v>1</v>
      </c>
      <c r="G91">
        <v>15514512</v>
      </c>
      <c r="H91">
        <v>3</v>
      </c>
      <c r="I91" t="s">
        <v>447</v>
      </c>
      <c r="J91" t="s">
        <v>448</v>
      </c>
      <c r="K91" t="s">
        <v>449</v>
      </c>
      <c r="L91">
        <v>1348</v>
      </c>
      <c r="N91">
        <v>1009</v>
      </c>
      <c r="O91" t="s">
        <v>412</v>
      </c>
      <c r="P91" t="s">
        <v>412</v>
      </c>
      <c r="Q91">
        <v>1000</v>
      </c>
      <c r="W91">
        <v>0</v>
      </c>
      <c r="X91">
        <v>779500846</v>
      </c>
      <c r="Y91">
        <f>(AT91*2)</f>
        <v>8.0000000000000007E-5</v>
      </c>
      <c r="AA91">
        <v>73951.73</v>
      </c>
      <c r="AB91">
        <v>0</v>
      </c>
      <c r="AC91">
        <v>0</v>
      </c>
      <c r="AD91">
        <v>0</v>
      </c>
      <c r="AE91">
        <v>73951.73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4.0000000000000003E-5</v>
      </c>
      <c r="AU91" t="s">
        <v>181</v>
      </c>
      <c r="AV91">
        <v>0</v>
      </c>
      <c r="AW91">
        <v>2</v>
      </c>
      <c r="AX91">
        <v>1473082225</v>
      </c>
      <c r="AY91">
        <v>1</v>
      </c>
      <c r="AZ91">
        <v>0</v>
      </c>
      <c r="BA91">
        <v>176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ROUND(Y91*Source!I525,9)</f>
        <v>1.6000000000000001E-4</v>
      </c>
      <c r="CY91">
        <f>AA91</f>
        <v>73951.73</v>
      </c>
      <c r="CZ91">
        <f>AE91</f>
        <v>73951.73</v>
      </c>
      <c r="DA91">
        <f>AI91</f>
        <v>1</v>
      </c>
      <c r="DB91">
        <f>ROUND((ROUND(AT91*CZ91,2)*2),6)</f>
        <v>5.92</v>
      </c>
      <c r="DC91">
        <f>ROUND((ROUND(AT91*AG91,2)*2),6)</f>
        <v>0</v>
      </c>
      <c r="DD91" t="s">
        <v>3</v>
      </c>
      <c r="DE91" t="s">
        <v>3</v>
      </c>
      <c r="DF91">
        <f t="shared" si="18"/>
        <v>11.83</v>
      </c>
      <c r="DG91">
        <f t="shared" si="19"/>
        <v>0</v>
      </c>
      <c r="DH91">
        <f t="shared" si="20"/>
        <v>0</v>
      </c>
      <c r="DI91">
        <f t="shared" si="21"/>
        <v>0</v>
      </c>
      <c r="DJ91">
        <f>DF91</f>
        <v>11.83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ROW(Source!A526)</f>
        <v>526</v>
      </c>
      <c r="B92">
        <v>1473080740</v>
      </c>
      <c r="C92">
        <v>1473082226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391</v>
      </c>
      <c r="J92" t="s">
        <v>3</v>
      </c>
      <c r="K92" t="s">
        <v>392</v>
      </c>
      <c r="L92">
        <v>1191</v>
      </c>
      <c r="N92">
        <v>1013</v>
      </c>
      <c r="O92" t="s">
        <v>393</v>
      </c>
      <c r="P92" t="s">
        <v>393</v>
      </c>
      <c r="Q92">
        <v>1</v>
      </c>
      <c r="W92">
        <v>0</v>
      </c>
      <c r="X92">
        <v>476480486</v>
      </c>
      <c r="Y92">
        <f>(AT92*4)</f>
        <v>0.68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0.17</v>
      </c>
      <c r="AU92" t="s">
        <v>28</v>
      </c>
      <c r="AV92">
        <v>1</v>
      </c>
      <c r="AW92">
        <v>2</v>
      </c>
      <c r="AX92">
        <v>1473082231</v>
      </c>
      <c r="AY92">
        <v>1</v>
      </c>
      <c r="AZ92">
        <v>0</v>
      </c>
      <c r="BA92">
        <v>177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U92">
        <f>ROUND(AT92*Source!I526*AH92*AL92,2)</f>
        <v>0</v>
      </c>
      <c r="CV92">
        <f>ROUND(Y92*Source!I526,9)</f>
        <v>0.68</v>
      </c>
      <c r="CW92">
        <v>0</v>
      </c>
      <c r="CX92">
        <f>ROUND(Y92*Source!I526,9)</f>
        <v>0.68</v>
      </c>
      <c r="CY92">
        <f>AD92</f>
        <v>0</v>
      </c>
      <c r="CZ92">
        <f>AH92</f>
        <v>0</v>
      </c>
      <c r="DA92">
        <f>AL92</f>
        <v>1</v>
      </c>
      <c r="DB92">
        <f>ROUND((ROUND(AT92*CZ92,2)*4),6)</f>
        <v>0</v>
      </c>
      <c r="DC92">
        <f>ROUND((ROUND(AT92*AG92,2)*4),6)</f>
        <v>0</v>
      </c>
      <c r="DD92" t="s">
        <v>3</v>
      </c>
      <c r="DE92" t="s">
        <v>3</v>
      </c>
      <c r="DF92">
        <f t="shared" si="18"/>
        <v>0</v>
      </c>
      <c r="DG92">
        <f t="shared" si="19"/>
        <v>0</v>
      </c>
      <c r="DH92">
        <f t="shared" si="20"/>
        <v>0</v>
      </c>
      <c r="DI92">
        <f t="shared" si="21"/>
        <v>0</v>
      </c>
      <c r="DJ92">
        <f>DI92</f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ROW(Source!A526)</f>
        <v>526</v>
      </c>
      <c r="B93">
        <v>1473080740</v>
      </c>
      <c r="C93">
        <v>1473082226</v>
      </c>
      <c r="D93">
        <v>1441834258</v>
      </c>
      <c r="E93">
        <v>1</v>
      </c>
      <c r="F93">
        <v>1</v>
      </c>
      <c r="G93">
        <v>15514512</v>
      </c>
      <c r="H93">
        <v>2</v>
      </c>
      <c r="I93" t="s">
        <v>394</v>
      </c>
      <c r="J93" t="s">
        <v>395</v>
      </c>
      <c r="K93" t="s">
        <v>396</v>
      </c>
      <c r="L93">
        <v>1368</v>
      </c>
      <c r="N93">
        <v>1011</v>
      </c>
      <c r="O93" t="s">
        <v>397</v>
      </c>
      <c r="P93" t="s">
        <v>397</v>
      </c>
      <c r="Q93">
        <v>1</v>
      </c>
      <c r="W93">
        <v>0</v>
      </c>
      <c r="X93">
        <v>1077756263</v>
      </c>
      <c r="Y93">
        <f>(AT93*4)</f>
        <v>0.04</v>
      </c>
      <c r="AA93">
        <v>0</v>
      </c>
      <c r="AB93">
        <v>1303.01</v>
      </c>
      <c r="AC93">
        <v>826.2</v>
      </c>
      <c r="AD93">
        <v>0</v>
      </c>
      <c r="AE93">
        <v>0</v>
      </c>
      <c r="AF93">
        <v>1303.01</v>
      </c>
      <c r="AG93">
        <v>826.2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0.01</v>
      </c>
      <c r="AU93" t="s">
        <v>28</v>
      </c>
      <c r="AV93">
        <v>0</v>
      </c>
      <c r="AW93">
        <v>2</v>
      </c>
      <c r="AX93">
        <v>1473082232</v>
      </c>
      <c r="AY93">
        <v>1</v>
      </c>
      <c r="AZ93">
        <v>0</v>
      </c>
      <c r="BA93">
        <v>178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ROUND(Y93*Source!I526*DO93,9)</f>
        <v>0</v>
      </c>
      <c r="CX93">
        <f>ROUND(Y93*Source!I526,9)</f>
        <v>0.04</v>
      </c>
      <c r="CY93">
        <f>AB93</f>
        <v>1303.01</v>
      </c>
      <c r="CZ93">
        <f>AF93</f>
        <v>1303.01</v>
      </c>
      <c r="DA93">
        <f>AJ93</f>
        <v>1</v>
      </c>
      <c r="DB93">
        <f>ROUND((ROUND(AT93*CZ93,2)*4),6)</f>
        <v>52.12</v>
      </c>
      <c r="DC93">
        <f>ROUND((ROUND(AT93*AG93,2)*4),6)</f>
        <v>33.04</v>
      </c>
      <c r="DD93" t="s">
        <v>3</v>
      </c>
      <c r="DE93" t="s">
        <v>3</v>
      </c>
      <c r="DF93">
        <f t="shared" si="18"/>
        <v>0</v>
      </c>
      <c r="DG93">
        <f t="shared" si="19"/>
        <v>52.12</v>
      </c>
      <c r="DH93">
        <f t="shared" si="20"/>
        <v>33.049999999999997</v>
      </c>
      <c r="DI93">
        <f t="shared" si="21"/>
        <v>0</v>
      </c>
      <c r="DJ93">
        <f>DG93</f>
        <v>52.12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ROW(Source!A526)</f>
        <v>526</v>
      </c>
      <c r="B94">
        <v>1473080740</v>
      </c>
      <c r="C94">
        <v>1473082226</v>
      </c>
      <c r="D94">
        <v>1441836186</v>
      </c>
      <c r="E94">
        <v>1</v>
      </c>
      <c r="F94">
        <v>1</v>
      </c>
      <c r="G94">
        <v>15514512</v>
      </c>
      <c r="H94">
        <v>3</v>
      </c>
      <c r="I94" t="s">
        <v>441</v>
      </c>
      <c r="J94" t="s">
        <v>442</v>
      </c>
      <c r="K94" t="s">
        <v>443</v>
      </c>
      <c r="L94">
        <v>1346</v>
      </c>
      <c r="N94">
        <v>1009</v>
      </c>
      <c r="O94" t="s">
        <v>401</v>
      </c>
      <c r="P94" t="s">
        <v>401</v>
      </c>
      <c r="Q94">
        <v>1</v>
      </c>
      <c r="W94">
        <v>0</v>
      </c>
      <c r="X94">
        <v>1299790764</v>
      </c>
      <c r="Y94">
        <f>(AT94*4)</f>
        <v>0.04</v>
      </c>
      <c r="AA94">
        <v>494.57</v>
      </c>
      <c r="AB94">
        <v>0</v>
      </c>
      <c r="AC94">
        <v>0</v>
      </c>
      <c r="AD94">
        <v>0</v>
      </c>
      <c r="AE94">
        <v>494.57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0.01</v>
      </c>
      <c r="AU94" t="s">
        <v>28</v>
      </c>
      <c r="AV94">
        <v>0</v>
      </c>
      <c r="AW94">
        <v>2</v>
      </c>
      <c r="AX94">
        <v>1473082233</v>
      </c>
      <c r="AY94">
        <v>1</v>
      </c>
      <c r="AZ94">
        <v>0</v>
      </c>
      <c r="BA94">
        <v>179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ROUND(Y94*Source!I526,9)</f>
        <v>0.04</v>
      </c>
      <c r="CY94">
        <f>AA94</f>
        <v>494.57</v>
      </c>
      <c r="CZ94">
        <f>AE94</f>
        <v>494.57</v>
      </c>
      <c r="DA94">
        <f>AI94</f>
        <v>1</v>
      </c>
      <c r="DB94">
        <f>ROUND((ROUND(AT94*CZ94,2)*4),6)</f>
        <v>19.8</v>
      </c>
      <c r="DC94">
        <f>ROUND((ROUND(AT94*AG94,2)*4),6)</f>
        <v>0</v>
      </c>
      <c r="DD94" t="s">
        <v>3</v>
      </c>
      <c r="DE94" t="s">
        <v>3</v>
      </c>
      <c r="DF94">
        <f t="shared" si="18"/>
        <v>19.78</v>
      </c>
      <c r="DG94">
        <f t="shared" si="19"/>
        <v>0</v>
      </c>
      <c r="DH94">
        <f t="shared" si="20"/>
        <v>0</v>
      </c>
      <c r="DI94">
        <f t="shared" si="21"/>
        <v>0</v>
      </c>
      <c r="DJ94">
        <f>DF94</f>
        <v>19.78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ROW(Source!A526)</f>
        <v>526</v>
      </c>
      <c r="B95">
        <v>1473080740</v>
      </c>
      <c r="C95">
        <v>1473082226</v>
      </c>
      <c r="D95">
        <v>1441836230</v>
      </c>
      <c r="E95">
        <v>1</v>
      </c>
      <c r="F95">
        <v>1</v>
      </c>
      <c r="G95">
        <v>15514512</v>
      </c>
      <c r="H95">
        <v>3</v>
      </c>
      <c r="I95" t="s">
        <v>444</v>
      </c>
      <c r="J95" t="s">
        <v>445</v>
      </c>
      <c r="K95" t="s">
        <v>446</v>
      </c>
      <c r="L95">
        <v>1327</v>
      </c>
      <c r="N95">
        <v>1005</v>
      </c>
      <c r="O95" t="s">
        <v>430</v>
      </c>
      <c r="P95" t="s">
        <v>430</v>
      </c>
      <c r="Q95">
        <v>1</v>
      </c>
      <c r="W95">
        <v>0</v>
      </c>
      <c r="X95">
        <v>-843547561</v>
      </c>
      <c r="Y95">
        <f>(AT95*4)</f>
        <v>0.08</v>
      </c>
      <c r="AA95">
        <v>46</v>
      </c>
      <c r="AB95">
        <v>0</v>
      </c>
      <c r="AC95">
        <v>0</v>
      </c>
      <c r="AD95">
        <v>0</v>
      </c>
      <c r="AE95">
        <v>46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0.02</v>
      </c>
      <c r="AU95" t="s">
        <v>28</v>
      </c>
      <c r="AV95">
        <v>0</v>
      </c>
      <c r="AW95">
        <v>2</v>
      </c>
      <c r="AX95">
        <v>1473082234</v>
      </c>
      <c r="AY95">
        <v>1</v>
      </c>
      <c r="AZ95">
        <v>0</v>
      </c>
      <c r="BA95">
        <v>180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ROUND(Y95*Source!I526,9)</f>
        <v>0.08</v>
      </c>
      <c r="CY95">
        <f>AA95</f>
        <v>46</v>
      </c>
      <c r="CZ95">
        <f>AE95</f>
        <v>46</v>
      </c>
      <c r="DA95">
        <f>AI95</f>
        <v>1</v>
      </c>
      <c r="DB95">
        <f>ROUND((ROUND(AT95*CZ95,2)*4),6)</f>
        <v>3.68</v>
      </c>
      <c r="DC95">
        <f>ROUND((ROUND(AT95*AG95,2)*4),6)</f>
        <v>0</v>
      </c>
      <c r="DD95" t="s">
        <v>3</v>
      </c>
      <c r="DE95" t="s">
        <v>3</v>
      </c>
      <c r="DF95">
        <f t="shared" si="18"/>
        <v>3.68</v>
      </c>
      <c r="DG95">
        <f t="shared" si="19"/>
        <v>0</v>
      </c>
      <c r="DH95">
        <f t="shared" si="20"/>
        <v>0</v>
      </c>
      <c r="DI95">
        <f t="shared" si="21"/>
        <v>0</v>
      </c>
      <c r="DJ95">
        <f>DF95</f>
        <v>3.68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ROW(Source!A527)</f>
        <v>527</v>
      </c>
      <c r="B96">
        <v>1473080740</v>
      </c>
      <c r="C96">
        <v>1473082235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391</v>
      </c>
      <c r="J96" t="s">
        <v>3</v>
      </c>
      <c r="K96" t="s">
        <v>392</v>
      </c>
      <c r="L96">
        <v>1191</v>
      </c>
      <c r="N96">
        <v>1013</v>
      </c>
      <c r="O96" t="s">
        <v>393</v>
      </c>
      <c r="P96" t="s">
        <v>393</v>
      </c>
      <c r="Q96">
        <v>1</v>
      </c>
      <c r="W96">
        <v>0</v>
      </c>
      <c r="X96">
        <v>476480486</v>
      </c>
      <c r="Y96">
        <f>(AT96*2)</f>
        <v>0.6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0.3</v>
      </c>
      <c r="AU96" t="s">
        <v>181</v>
      </c>
      <c r="AV96">
        <v>1</v>
      </c>
      <c r="AW96">
        <v>2</v>
      </c>
      <c r="AX96">
        <v>1473082239</v>
      </c>
      <c r="AY96">
        <v>1</v>
      </c>
      <c r="AZ96">
        <v>0</v>
      </c>
      <c r="BA96">
        <v>181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U96">
        <f>ROUND(AT96*Source!I527*AH96*AL96,2)</f>
        <v>0</v>
      </c>
      <c r="CV96">
        <f>ROUND(Y96*Source!I527,9)</f>
        <v>3</v>
      </c>
      <c r="CW96">
        <v>0</v>
      </c>
      <c r="CX96">
        <f>ROUND(Y96*Source!I527,9)</f>
        <v>3</v>
      </c>
      <c r="CY96">
        <f>AD96</f>
        <v>0</v>
      </c>
      <c r="CZ96">
        <f>AH96</f>
        <v>0</v>
      </c>
      <c r="DA96">
        <f>AL96</f>
        <v>1</v>
      </c>
      <c r="DB96">
        <f>ROUND((ROUND(AT96*CZ96,2)*2),6)</f>
        <v>0</v>
      </c>
      <c r="DC96">
        <f>ROUND((ROUND(AT96*AG96,2)*2),6)</f>
        <v>0</v>
      </c>
      <c r="DD96" t="s">
        <v>3</v>
      </c>
      <c r="DE96" t="s">
        <v>3</v>
      </c>
      <c r="DF96">
        <f t="shared" si="18"/>
        <v>0</v>
      </c>
      <c r="DG96">
        <f t="shared" si="19"/>
        <v>0</v>
      </c>
      <c r="DH96">
        <f t="shared" si="20"/>
        <v>0</v>
      </c>
      <c r="DI96">
        <f t="shared" si="21"/>
        <v>0</v>
      </c>
      <c r="DJ96">
        <f>DI96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ROW(Source!A527)</f>
        <v>527</v>
      </c>
      <c r="B97">
        <v>1473080740</v>
      </c>
      <c r="C97">
        <v>1473082235</v>
      </c>
      <c r="D97">
        <v>1441836235</v>
      </c>
      <c r="E97">
        <v>1</v>
      </c>
      <c r="F97">
        <v>1</v>
      </c>
      <c r="G97">
        <v>15514512</v>
      </c>
      <c r="H97">
        <v>3</v>
      </c>
      <c r="I97" t="s">
        <v>398</v>
      </c>
      <c r="J97" t="s">
        <v>399</v>
      </c>
      <c r="K97" t="s">
        <v>400</v>
      </c>
      <c r="L97">
        <v>1346</v>
      </c>
      <c r="N97">
        <v>1009</v>
      </c>
      <c r="O97" t="s">
        <v>401</v>
      </c>
      <c r="P97" t="s">
        <v>401</v>
      </c>
      <c r="Q97">
        <v>1</v>
      </c>
      <c r="W97">
        <v>0</v>
      </c>
      <c r="X97">
        <v>-1595335418</v>
      </c>
      <c r="Y97">
        <f>(AT97*2)</f>
        <v>0.1</v>
      </c>
      <c r="AA97">
        <v>31.49</v>
      </c>
      <c r="AB97">
        <v>0</v>
      </c>
      <c r="AC97">
        <v>0</v>
      </c>
      <c r="AD97">
        <v>0</v>
      </c>
      <c r="AE97">
        <v>31.49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0.05</v>
      </c>
      <c r="AU97" t="s">
        <v>181</v>
      </c>
      <c r="AV97">
        <v>0</v>
      </c>
      <c r="AW97">
        <v>2</v>
      </c>
      <c r="AX97">
        <v>1473082240</v>
      </c>
      <c r="AY97">
        <v>1</v>
      </c>
      <c r="AZ97">
        <v>0</v>
      </c>
      <c r="BA97">
        <v>182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ROUND(Y97*Source!I527,9)</f>
        <v>0.5</v>
      </c>
      <c r="CY97">
        <f>AA97</f>
        <v>31.49</v>
      </c>
      <c r="CZ97">
        <f>AE97</f>
        <v>31.49</v>
      </c>
      <c r="DA97">
        <f>AI97</f>
        <v>1</v>
      </c>
      <c r="DB97">
        <f>ROUND((ROUND(AT97*CZ97,2)*2),6)</f>
        <v>3.14</v>
      </c>
      <c r="DC97">
        <f>ROUND((ROUND(AT97*AG97,2)*2),6)</f>
        <v>0</v>
      </c>
      <c r="DD97" t="s">
        <v>3</v>
      </c>
      <c r="DE97" t="s">
        <v>3</v>
      </c>
      <c r="DF97">
        <f t="shared" ref="DF97:DF128" si="22">ROUND(ROUND(AE97,2)*CX97,2)</f>
        <v>15.75</v>
      </c>
      <c r="DG97">
        <f t="shared" ref="DG97:DG128" si="23">ROUND(ROUND(AF97,2)*CX97,2)</f>
        <v>0</v>
      </c>
      <c r="DH97">
        <f t="shared" ref="DH97:DH128" si="24">ROUND(ROUND(AG97,2)*CX97,2)</f>
        <v>0</v>
      </c>
      <c r="DI97">
        <f t="shared" ref="DI97:DI128" si="25">ROUND(ROUND(AH97,2)*CX97,2)</f>
        <v>0</v>
      </c>
      <c r="DJ97">
        <f>DF97</f>
        <v>15.75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ROW(Source!A527)</f>
        <v>527</v>
      </c>
      <c r="B98">
        <v>1473080740</v>
      </c>
      <c r="C98">
        <v>1473082235</v>
      </c>
      <c r="D98">
        <v>1441834628</v>
      </c>
      <c r="E98">
        <v>1</v>
      </c>
      <c r="F98">
        <v>1</v>
      </c>
      <c r="G98">
        <v>15514512</v>
      </c>
      <c r="H98">
        <v>3</v>
      </c>
      <c r="I98" t="s">
        <v>447</v>
      </c>
      <c r="J98" t="s">
        <v>448</v>
      </c>
      <c r="K98" t="s">
        <v>449</v>
      </c>
      <c r="L98">
        <v>1348</v>
      </c>
      <c r="N98">
        <v>1009</v>
      </c>
      <c r="O98" t="s">
        <v>412</v>
      </c>
      <c r="P98" t="s">
        <v>412</v>
      </c>
      <c r="Q98">
        <v>1000</v>
      </c>
      <c r="W98">
        <v>0</v>
      </c>
      <c r="X98">
        <v>779500846</v>
      </c>
      <c r="Y98">
        <f>(AT98*2)</f>
        <v>8.0000000000000007E-5</v>
      </c>
      <c r="AA98">
        <v>73951.73</v>
      </c>
      <c r="AB98">
        <v>0</v>
      </c>
      <c r="AC98">
        <v>0</v>
      </c>
      <c r="AD98">
        <v>0</v>
      </c>
      <c r="AE98">
        <v>73951.73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4.0000000000000003E-5</v>
      </c>
      <c r="AU98" t="s">
        <v>181</v>
      </c>
      <c r="AV98">
        <v>0</v>
      </c>
      <c r="AW98">
        <v>2</v>
      </c>
      <c r="AX98">
        <v>1473082241</v>
      </c>
      <c r="AY98">
        <v>1</v>
      </c>
      <c r="AZ98">
        <v>0</v>
      </c>
      <c r="BA98">
        <v>183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ROUND(Y98*Source!I527,9)</f>
        <v>4.0000000000000002E-4</v>
      </c>
      <c r="CY98">
        <f>AA98</f>
        <v>73951.73</v>
      </c>
      <c r="CZ98">
        <f>AE98</f>
        <v>73951.73</v>
      </c>
      <c r="DA98">
        <f>AI98</f>
        <v>1</v>
      </c>
      <c r="DB98">
        <f>ROUND((ROUND(AT98*CZ98,2)*2),6)</f>
        <v>5.92</v>
      </c>
      <c r="DC98">
        <f>ROUND((ROUND(AT98*AG98,2)*2),6)</f>
        <v>0</v>
      </c>
      <c r="DD98" t="s">
        <v>3</v>
      </c>
      <c r="DE98" t="s">
        <v>3</v>
      </c>
      <c r="DF98">
        <f t="shared" si="22"/>
        <v>29.58</v>
      </c>
      <c r="DG98">
        <f t="shared" si="23"/>
        <v>0</v>
      </c>
      <c r="DH98">
        <f t="shared" si="24"/>
        <v>0</v>
      </c>
      <c r="DI98">
        <f t="shared" si="25"/>
        <v>0</v>
      </c>
      <c r="DJ98">
        <f>DF98</f>
        <v>29.58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ROW(Source!A528)</f>
        <v>528</v>
      </c>
      <c r="B99">
        <v>1473080740</v>
      </c>
      <c r="C99">
        <v>1473082242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391</v>
      </c>
      <c r="J99" t="s">
        <v>3</v>
      </c>
      <c r="K99" t="s">
        <v>392</v>
      </c>
      <c r="L99">
        <v>1191</v>
      </c>
      <c r="N99">
        <v>1013</v>
      </c>
      <c r="O99" t="s">
        <v>393</v>
      </c>
      <c r="P99" t="s">
        <v>393</v>
      </c>
      <c r="Q99">
        <v>1</v>
      </c>
      <c r="W99">
        <v>0</v>
      </c>
      <c r="X99">
        <v>476480486</v>
      </c>
      <c r="Y99">
        <f>(AT99*3)</f>
        <v>1.6800000000000002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0.56000000000000005</v>
      </c>
      <c r="AU99" t="s">
        <v>163</v>
      </c>
      <c r="AV99">
        <v>1</v>
      </c>
      <c r="AW99">
        <v>2</v>
      </c>
      <c r="AX99">
        <v>1473082244</v>
      </c>
      <c r="AY99">
        <v>1</v>
      </c>
      <c r="AZ99">
        <v>0</v>
      </c>
      <c r="BA99">
        <v>184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U99">
        <f>ROUND(AT99*Source!I528*AH99*AL99,2)</f>
        <v>0</v>
      </c>
      <c r="CV99">
        <f>ROUND(Y99*Source!I528,9)</f>
        <v>0.33600000000000002</v>
      </c>
      <c r="CW99">
        <v>0</v>
      </c>
      <c r="CX99">
        <f>ROUND(Y99*Source!I528,9)</f>
        <v>0.33600000000000002</v>
      </c>
      <c r="CY99">
        <f>AD99</f>
        <v>0</v>
      </c>
      <c r="CZ99">
        <f>AH99</f>
        <v>0</v>
      </c>
      <c r="DA99">
        <f>AL99</f>
        <v>1</v>
      </c>
      <c r="DB99">
        <f>ROUND((ROUND(AT99*CZ99,2)*3),6)</f>
        <v>0</v>
      </c>
      <c r="DC99">
        <f>ROUND((ROUND(AT99*AG99,2)*3),6)</f>
        <v>0</v>
      </c>
      <c r="DD99" t="s">
        <v>3</v>
      </c>
      <c r="DE99" t="s">
        <v>3</v>
      </c>
      <c r="DF99">
        <f t="shared" si="22"/>
        <v>0</v>
      </c>
      <c r="DG99">
        <f t="shared" si="23"/>
        <v>0</v>
      </c>
      <c r="DH99">
        <f t="shared" si="24"/>
        <v>0</v>
      </c>
      <c r="DI99">
        <f t="shared" si="25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ROW(Source!A529)</f>
        <v>529</v>
      </c>
      <c r="B100">
        <v>1473080740</v>
      </c>
      <c r="C100">
        <v>1473082245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391</v>
      </c>
      <c r="J100" t="s">
        <v>3</v>
      </c>
      <c r="K100" t="s">
        <v>392</v>
      </c>
      <c r="L100">
        <v>1191</v>
      </c>
      <c r="N100">
        <v>1013</v>
      </c>
      <c r="O100" t="s">
        <v>393</v>
      </c>
      <c r="P100" t="s">
        <v>393</v>
      </c>
      <c r="Q100">
        <v>1</v>
      </c>
      <c r="W100">
        <v>0</v>
      </c>
      <c r="X100">
        <v>476480486</v>
      </c>
      <c r="Y100">
        <f>AT100</f>
        <v>0.16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0.16</v>
      </c>
      <c r="AU100" t="s">
        <v>3</v>
      </c>
      <c r="AV100">
        <v>1</v>
      </c>
      <c r="AW100">
        <v>2</v>
      </c>
      <c r="AX100">
        <v>1473082247</v>
      </c>
      <c r="AY100">
        <v>1</v>
      </c>
      <c r="AZ100">
        <v>0</v>
      </c>
      <c r="BA100">
        <v>185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U100">
        <f>ROUND(AT100*Source!I529*AH100*AL100,2)</f>
        <v>0</v>
      </c>
      <c r="CV100">
        <f>ROUND(Y100*Source!I529,9)</f>
        <v>0.32</v>
      </c>
      <c r="CW100">
        <v>0</v>
      </c>
      <c r="CX100">
        <f>ROUND(Y100*Source!I529,9)</f>
        <v>0.32</v>
      </c>
      <c r="CY100">
        <f>AD100</f>
        <v>0</v>
      </c>
      <c r="CZ100">
        <f>AH100</f>
        <v>0</v>
      </c>
      <c r="DA100">
        <f>AL100</f>
        <v>1</v>
      </c>
      <c r="DB100">
        <f>ROUND(ROUND(AT100*CZ100,2),6)</f>
        <v>0</v>
      </c>
      <c r="DC100">
        <f>ROUND(ROUND(AT100*AG100,2),6)</f>
        <v>0</v>
      </c>
      <c r="DD100" t="s">
        <v>3</v>
      </c>
      <c r="DE100" t="s">
        <v>3</v>
      </c>
      <c r="DF100">
        <f t="shared" si="22"/>
        <v>0</v>
      </c>
      <c r="DG100">
        <f t="shared" si="23"/>
        <v>0</v>
      </c>
      <c r="DH100">
        <f t="shared" si="24"/>
        <v>0</v>
      </c>
      <c r="DI100">
        <f t="shared" si="25"/>
        <v>0</v>
      </c>
      <c r="DJ100">
        <f>DI100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ROW(Source!A530)</f>
        <v>530</v>
      </c>
      <c r="B101">
        <v>1473080740</v>
      </c>
      <c r="C101">
        <v>1473082248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391</v>
      </c>
      <c r="J101" t="s">
        <v>3</v>
      </c>
      <c r="K101" t="s">
        <v>392</v>
      </c>
      <c r="L101">
        <v>1191</v>
      </c>
      <c r="N101">
        <v>1013</v>
      </c>
      <c r="O101" t="s">
        <v>393</v>
      </c>
      <c r="P101" t="s">
        <v>393</v>
      </c>
      <c r="Q101">
        <v>1</v>
      </c>
      <c r="W101">
        <v>0</v>
      </c>
      <c r="X101">
        <v>476480486</v>
      </c>
      <c r="Y101">
        <f>(AT101*2)</f>
        <v>0.6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0.3</v>
      </c>
      <c r="AU101" t="s">
        <v>181</v>
      </c>
      <c r="AV101">
        <v>1</v>
      </c>
      <c r="AW101">
        <v>2</v>
      </c>
      <c r="AX101">
        <v>1473082252</v>
      </c>
      <c r="AY101">
        <v>1</v>
      </c>
      <c r="AZ101">
        <v>0</v>
      </c>
      <c r="BA101">
        <v>186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U101">
        <f>ROUND(AT101*Source!I530*AH101*AL101,2)</f>
        <v>0</v>
      </c>
      <c r="CV101">
        <f>ROUND(Y101*Source!I530,9)</f>
        <v>2.4</v>
      </c>
      <c r="CW101">
        <v>0</v>
      </c>
      <c r="CX101">
        <f>ROUND(Y101*Source!I530,9)</f>
        <v>2.4</v>
      </c>
      <c r="CY101">
        <f>AD101</f>
        <v>0</v>
      </c>
      <c r="CZ101">
        <f>AH101</f>
        <v>0</v>
      </c>
      <c r="DA101">
        <f>AL101</f>
        <v>1</v>
      </c>
      <c r="DB101">
        <f>ROUND((ROUND(AT101*CZ101,2)*2),6)</f>
        <v>0</v>
      </c>
      <c r="DC101">
        <f>ROUND((ROUND(AT101*AG101,2)*2),6)</f>
        <v>0</v>
      </c>
      <c r="DD101" t="s">
        <v>3</v>
      </c>
      <c r="DE101" t="s">
        <v>3</v>
      </c>
      <c r="DF101">
        <f t="shared" si="22"/>
        <v>0</v>
      </c>
      <c r="DG101">
        <f t="shared" si="23"/>
        <v>0</v>
      </c>
      <c r="DH101">
        <f t="shared" si="24"/>
        <v>0</v>
      </c>
      <c r="DI101">
        <f t="shared" si="25"/>
        <v>0</v>
      </c>
      <c r="DJ101">
        <f>DI101</f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ROW(Source!A530)</f>
        <v>530</v>
      </c>
      <c r="B102">
        <v>1473080740</v>
      </c>
      <c r="C102">
        <v>1473082248</v>
      </c>
      <c r="D102">
        <v>1441836235</v>
      </c>
      <c r="E102">
        <v>1</v>
      </c>
      <c r="F102">
        <v>1</v>
      </c>
      <c r="G102">
        <v>15514512</v>
      </c>
      <c r="H102">
        <v>3</v>
      </c>
      <c r="I102" t="s">
        <v>398</v>
      </c>
      <c r="J102" t="s">
        <v>399</v>
      </c>
      <c r="K102" t="s">
        <v>400</v>
      </c>
      <c r="L102">
        <v>1346</v>
      </c>
      <c r="N102">
        <v>1009</v>
      </c>
      <c r="O102" t="s">
        <v>401</v>
      </c>
      <c r="P102" t="s">
        <v>401</v>
      </c>
      <c r="Q102">
        <v>1</v>
      </c>
      <c r="W102">
        <v>0</v>
      </c>
      <c r="X102">
        <v>-1595335418</v>
      </c>
      <c r="Y102">
        <f>(AT102*2)</f>
        <v>0.1</v>
      </c>
      <c r="AA102">
        <v>31.49</v>
      </c>
      <c r="AB102">
        <v>0</v>
      </c>
      <c r="AC102">
        <v>0</v>
      </c>
      <c r="AD102">
        <v>0</v>
      </c>
      <c r="AE102">
        <v>31.49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0.05</v>
      </c>
      <c r="AU102" t="s">
        <v>181</v>
      </c>
      <c r="AV102">
        <v>0</v>
      </c>
      <c r="AW102">
        <v>2</v>
      </c>
      <c r="AX102">
        <v>1473082253</v>
      </c>
      <c r="AY102">
        <v>1</v>
      </c>
      <c r="AZ102">
        <v>0</v>
      </c>
      <c r="BA102">
        <v>187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ROUND(Y102*Source!I530,9)</f>
        <v>0.4</v>
      </c>
      <c r="CY102">
        <f>AA102</f>
        <v>31.49</v>
      </c>
      <c r="CZ102">
        <f>AE102</f>
        <v>31.49</v>
      </c>
      <c r="DA102">
        <f>AI102</f>
        <v>1</v>
      </c>
      <c r="DB102">
        <f>ROUND((ROUND(AT102*CZ102,2)*2),6)</f>
        <v>3.14</v>
      </c>
      <c r="DC102">
        <f>ROUND((ROUND(AT102*AG102,2)*2),6)</f>
        <v>0</v>
      </c>
      <c r="DD102" t="s">
        <v>3</v>
      </c>
      <c r="DE102" t="s">
        <v>3</v>
      </c>
      <c r="DF102">
        <f t="shared" si="22"/>
        <v>12.6</v>
      </c>
      <c r="DG102">
        <f t="shared" si="23"/>
        <v>0</v>
      </c>
      <c r="DH102">
        <f t="shared" si="24"/>
        <v>0</v>
      </c>
      <c r="DI102">
        <f t="shared" si="25"/>
        <v>0</v>
      </c>
      <c r="DJ102">
        <f>DF102</f>
        <v>12.6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ROW(Source!A530)</f>
        <v>530</v>
      </c>
      <c r="B103">
        <v>1473080740</v>
      </c>
      <c r="C103">
        <v>1473082248</v>
      </c>
      <c r="D103">
        <v>1441834628</v>
      </c>
      <c r="E103">
        <v>1</v>
      </c>
      <c r="F103">
        <v>1</v>
      </c>
      <c r="G103">
        <v>15514512</v>
      </c>
      <c r="H103">
        <v>3</v>
      </c>
      <c r="I103" t="s">
        <v>447</v>
      </c>
      <c r="J103" t="s">
        <v>448</v>
      </c>
      <c r="K103" t="s">
        <v>449</v>
      </c>
      <c r="L103">
        <v>1348</v>
      </c>
      <c r="N103">
        <v>1009</v>
      </c>
      <c r="O103" t="s">
        <v>412</v>
      </c>
      <c r="P103" t="s">
        <v>412</v>
      </c>
      <c r="Q103">
        <v>1000</v>
      </c>
      <c r="W103">
        <v>0</v>
      </c>
      <c r="X103">
        <v>779500846</v>
      </c>
      <c r="Y103">
        <f>(AT103*2)</f>
        <v>8.0000000000000007E-5</v>
      </c>
      <c r="AA103">
        <v>73951.73</v>
      </c>
      <c r="AB103">
        <v>0</v>
      </c>
      <c r="AC103">
        <v>0</v>
      </c>
      <c r="AD103">
        <v>0</v>
      </c>
      <c r="AE103">
        <v>73951.73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4.0000000000000003E-5</v>
      </c>
      <c r="AU103" t="s">
        <v>181</v>
      </c>
      <c r="AV103">
        <v>0</v>
      </c>
      <c r="AW103">
        <v>2</v>
      </c>
      <c r="AX103">
        <v>1473082254</v>
      </c>
      <c r="AY103">
        <v>1</v>
      </c>
      <c r="AZ103">
        <v>0</v>
      </c>
      <c r="BA103">
        <v>188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ROUND(Y103*Source!I530,9)</f>
        <v>3.2000000000000003E-4</v>
      </c>
      <c r="CY103">
        <f>AA103</f>
        <v>73951.73</v>
      </c>
      <c r="CZ103">
        <f>AE103</f>
        <v>73951.73</v>
      </c>
      <c r="DA103">
        <f>AI103</f>
        <v>1</v>
      </c>
      <c r="DB103">
        <f>ROUND((ROUND(AT103*CZ103,2)*2),6)</f>
        <v>5.92</v>
      </c>
      <c r="DC103">
        <f>ROUND((ROUND(AT103*AG103,2)*2),6)</f>
        <v>0</v>
      </c>
      <c r="DD103" t="s">
        <v>3</v>
      </c>
      <c r="DE103" t="s">
        <v>3</v>
      </c>
      <c r="DF103">
        <f t="shared" si="22"/>
        <v>23.66</v>
      </c>
      <c r="DG103">
        <f t="shared" si="23"/>
        <v>0</v>
      </c>
      <c r="DH103">
        <f t="shared" si="24"/>
        <v>0</v>
      </c>
      <c r="DI103">
        <f t="shared" si="25"/>
        <v>0</v>
      </c>
      <c r="DJ103">
        <f>DF103</f>
        <v>23.66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ROW(Source!A531)</f>
        <v>531</v>
      </c>
      <c r="B104">
        <v>1473080740</v>
      </c>
      <c r="C104">
        <v>1473082255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391</v>
      </c>
      <c r="J104" t="s">
        <v>3</v>
      </c>
      <c r="K104" t="s">
        <v>392</v>
      </c>
      <c r="L104">
        <v>1191</v>
      </c>
      <c r="N104">
        <v>1013</v>
      </c>
      <c r="O104" t="s">
        <v>393</v>
      </c>
      <c r="P104" t="s">
        <v>393</v>
      </c>
      <c r="Q104">
        <v>1</v>
      </c>
      <c r="W104">
        <v>0</v>
      </c>
      <c r="X104">
        <v>476480486</v>
      </c>
      <c r="Y104">
        <f>(AT104*4)</f>
        <v>0.68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0.17</v>
      </c>
      <c r="AU104" t="s">
        <v>28</v>
      </c>
      <c r="AV104">
        <v>1</v>
      </c>
      <c r="AW104">
        <v>2</v>
      </c>
      <c r="AX104">
        <v>1473082260</v>
      </c>
      <c r="AY104">
        <v>1</v>
      </c>
      <c r="AZ104">
        <v>0</v>
      </c>
      <c r="BA104">
        <v>189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U104">
        <f>ROUND(AT104*Source!I531*AH104*AL104,2)</f>
        <v>0</v>
      </c>
      <c r="CV104">
        <f>ROUND(Y104*Source!I531,9)</f>
        <v>0.68</v>
      </c>
      <c r="CW104">
        <v>0</v>
      </c>
      <c r="CX104">
        <f>ROUND(Y104*Source!I531,9)</f>
        <v>0.68</v>
      </c>
      <c r="CY104">
        <f>AD104</f>
        <v>0</v>
      </c>
      <c r="CZ104">
        <f>AH104</f>
        <v>0</v>
      </c>
      <c r="DA104">
        <f>AL104</f>
        <v>1</v>
      </c>
      <c r="DB104">
        <f>ROUND((ROUND(AT104*CZ104,2)*4),6)</f>
        <v>0</v>
      </c>
      <c r="DC104">
        <f>ROUND((ROUND(AT104*AG104,2)*4),6)</f>
        <v>0</v>
      </c>
      <c r="DD104" t="s">
        <v>3</v>
      </c>
      <c r="DE104" t="s">
        <v>3</v>
      </c>
      <c r="DF104">
        <f t="shared" si="22"/>
        <v>0</v>
      </c>
      <c r="DG104">
        <f t="shared" si="23"/>
        <v>0</v>
      </c>
      <c r="DH104">
        <f t="shared" si="24"/>
        <v>0</v>
      </c>
      <c r="DI104">
        <f t="shared" si="25"/>
        <v>0</v>
      </c>
      <c r="DJ104">
        <f>DI104</f>
        <v>0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ROW(Source!A531)</f>
        <v>531</v>
      </c>
      <c r="B105">
        <v>1473080740</v>
      </c>
      <c r="C105">
        <v>1473082255</v>
      </c>
      <c r="D105">
        <v>1441834258</v>
      </c>
      <c r="E105">
        <v>1</v>
      </c>
      <c r="F105">
        <v>1</v>
      </c>
      <c r="G105">
        <v>15514512</v>
      </c>
      <c r="H105">
        <v>2</v>
      </c>
      <c r="I105" t="s">
        <v>394</v>
      </c>
      <c r="J105" t="s">
        <v>395</v>
      </c>
      <c r="K105" t="s">
        <v>396</v>
      </c>
      <c r="L105">
        <v>1368</v>
      </c>
      <c r="N105">
        <v>1011</v>
      </c>
      <c r="O105" t="s">
        <v>397</v>
      </c>
      <c r="P105" t="s">
        <v>397</v>
      </c>
      <c r="Q105">
        <v>1</v>
      </c>
      <c r="W105">
        <v>0</v>
      </c>
      <c r="X105">
        <v>1077756263</v>
      </c>
      <c r="Y105">
        <f>(AT105*4)</f>
        <v>0.04</v>
      </c>
      <c r="AA105">
        <v>0</v>
      </c>
      <c r="AB105">
        <v>1303.01</v>
      </c>
      <c r="AC105">
        <v>826.2</v>
      </c>
      <c r="AD105">
        <v>0</v>
      </c>
      <c r="AE105">
        <v>0</v>
      </c>
      <c r="AF105">
        <v>1303.01</v>
      </c>
      <c r="AG105">
        <v>826.2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0.01</v>
      </c>
      <c r="AU105" t="s">
        <v>28</v>
      </c>
      <c r="AV105">
        <v>0</v>
      </c>
      <c r="AW105">
        <v>2</v>
      </c>
      <c r="AX105">
        <v>1473082261</v>
      </c>
      <c r="AY105">
        <v>1</v>
      </c>
      <c r="AZ105">
        <v>0</v>
      </c>
      <c r="BA105">
        <v>190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ROUND(Y105*Source!I531*DO105,9)</f>
        <v>0</v>
      </c>
      <c r="CX105">
        <f>ROUND(Y105*Source!I531,9)</f>
        <v>0.04</v>
      </c>
      <c r="CY105">
        <f>AB105</f>
        <v>1303.01</v>
      </c>
      <c r="CZ105">
        <f>AF105</f>
        <v>1303.01</v>
      </c>
      <c r="DA105">
        <f>AJ105</f>
        <v>1</v>
      </c>
      <c r="DB105">
        <f>ROUND((ROUND(AT105*CZ105,2)*4),6)</f>
        <v>52.12</v>
      </c>
      <c r="DC105">
        <f>ROUND((ROUND(AT105*AG105,2)*4),6)</f>
        <v>33.04</v>
      </c>
      <c r="DD105" t="s">
        <v>3</v>
      </c>
      <c r="DE105" t="s">
        <v>3</v>
      </c>
      <c r="DF105">
        <f t="shared" si="22"/>
        <v>0</v>
      </c>
      <c r="DG105">
        <f t="shared" si="23"/>
        <v>52.12</v>
      </c>
      <c r="DH105">
        <f t="shared" si="24"/>
        <v>33.049999999999997</v>
      </c>
      <c r="DI105">
        <f t="shared" si="25"/>
        <v>0</v>
      </c>
      <c r="DJ105">
        <f>DG105</f>
        <v>52.12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ROW(Source!A531)</f>
        <v>531</v>
      </c>
      <c r="B106">
        <v>1473080740</v>
      </c>
      <c r="C106">
        <v>1473082255</v>
      </c>
      <c r="D106">
        <v>1441836186</v>
      </c>
      <c r="E106">
        <v>1</v>
      </c>
      <c r="F106">
        <v>1</v>
      </c>
      <c r="G106">
        <v>15514512</v>
      </c>
      <c r="H106">
        <v>3</v>
      </c>
      <c r="I106" t="s">
        <v>441</v>
      </c>
      <c r="J106" t="s">
        <v>442</v>
      </c>
      <c r="K106" t="s">
        <v>443</v>
      </c>
      <c r="L106">
        <v>1346</v>
      </c>
      <c r="N106">
        <v>1009</v>
      </c>
      <c r="O106" t="s">
        <v>401</v>
      </c>
      <c r="P106" t="s">
        <v>401</v>
      </c>
      <c r="Q106">
        <v>1</v>
      </c>
      <c r="W106">
        <v>0</v>
      </c>
      <c r="X106">
        <v>1299790764</v>
      </c>
      <c r="Y106">
        <f>(AT106*4)</f>
        <v>0.04</v>
      </c>
      <c r="AA106">
        <v>494.57</v>
      </c>
      <c r="AB106">
        <v>0</v>
      </c>
      <c r="AC106">
        <v>0</v>
      </c>
      <c r="AD106">
        <v>0</v>
      </c>
      <c r="AE106">
        <v>494.57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0.01</v>
      </c>
      <c r="AU106" t="s">
        <v>28</v>
      </c>
      <c r="AV106">
        <v>0</v>
      </c>
      <c r="AW106">
        <v>2</v>
      </c>
      <c r="AX106">
        <v>1473082262</v>
      </c>
      <c r="AY106">
        <v>1</v>
      </c>
      <c r="AZ106">
        <v>0</v>
      </c>
      <c r="BA106">
        <v>191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ROUND(Y106*Source!I531,9)</f>
        <v>0.04</v>
      </c>
      <c r="CY106">
        <f>AA106</f>
        <v>494.57</v>
      </c>
      <c r="CZ106">
        <f>AE106</f>
        <v>494.57</v>
      </c>
      <c r="DA106">
        <f>AI106</f>
        <v>1</v>
      </c>
      <c r="DB106">
        <f>ROUND((ROUND(AT106*CZ106,2)*4),6)</f>
        <v>19.8</v>
      </c>
      <c r="DC106">
        <f>ROUND((ROUND(AT106*AG106,2)*4),6)</f>
        <v>0</v>
      </c>
      <c r="DD106" t="s">
        <v>3</v>
      </c>
      <c r="DE106" t="s">
        <v>3</v>
      </c>
      <c r="DF106">
        <f t="shared" si="22"/>
        <v>19.78</v>
      </c>
      <c r="DG106">
        <f t="shared" si="23"/>
        <v>0</v>
      </c>
      <c r="DH106">
        <f t="shared" si="24"/>
        <v>0</v>
      </c>
      <c r="DI106">
        <f t="shared" si="25"/>
        <v>0</v>
      </c>
      <c r="DJ106">
        <f>DF106</f>
        <v>19.78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ROW(Source!A531)</f>
        <v>531</v>
      </c>
      <c r="B107">
        <v>1473080740</v>
      </c>
      <c r="C107">
        <v>1473082255</v>
      </c>
      <c r="D107">
        <v>1441836230</v>
      </c>
      <c r="E107">
        <v>1</v>
      </c>
      <c r="F107">
        <v>1</v>
      </c>
      <c r="G107">
        <v>15514512</v>
      </c>
      <c r="H107">
        <v>3</v>
      </c>
      <c r="I107" t="s">
        <v>444</v>
      </c>
      <c r="J107" t="s">
        <v>445</v>
      </c>
      <c r="K107" t="s">
        <v>446</v>
      </c>
      <c r="L107">
        <v>1327</v>
      </c>
      <c r="N107">
        <v>1005</v>
      </c>
      <c r="O107" t="s">
        <v>430</v>
      </c>
      <c r="P107" t="s">
        <v>430</v>
      </c>
      <c r="Q107">
        <v>1</v>
      </c>
      <c r="W107">
        <v>0</v>
      </c>
      <c r="X107">
        <v>-843547561</v>
      </c>
      <c r="Y107">
        <f>(AT107*4)</f>
        <v>0.08</v>
      </c>
      <c r="AA107">
        <v>46</v>
      </c>
      <c r="AB107">
        <v>0</v>
      </c>
      <c r="AC107">
        <v>0</v>
      </c>
      <c r="AD107">
        <v>0</v>
      </c>
      <c r="AE107">
        <v>46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0.02</v>
      </c>
      <c r="AU107" t="s">
        <v>28</v>
      </c>
      <c r="AV107">
        <v>0</v>
      </c>
      <c r="AW107">
        <v>2</v>
      </c>
      <c r="AX107">
        <v>1473082263</v>
      </c>
      <c r="AY107">
        <v>1</v>
      </c>
      <c r="AZ107">
        <v>0</v>
      </c>
      <c r="BA107">
        <v>192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ROUND(Y107*Source!I531,9)</f>
        <v>0.08</v>
      </c>
      <c r="CY107">
        <f>AA107</f>
        <v>46</v>
      </c>
      <c r="CZ107">
        <f>AE107</f>
        <v>46</v>
      </c>
      <c r="DA107">
        <f>AI107</f>
        <v>1</v>
      </c>
      <c r="DB107">
        <f>ROUND((ROUND(AT107*CZ107,2)*4),6)</f>
        <v>3.68</v>
      </c>
      <c r="DC107">
        <f>ROUND((ROUND(AT107*AG107,2)*4),6)</f>
        <v>0</v>
      </c>
      <c r="DD107" t="s">
        <v>3</v>
      </c>
      <c r="DE107" t="s">
        <v>3</v>
      </c>
      <c r="DF107">
        <f t="shared" si="22"/>
        <v>3.68</v>
      </c>
      <c r="DG107">
        <f t="shared" si="23"/>
        <v>0</v>
      </c>
      <c r="DH107">
        <f t="shared" si="24"/>
        <v>0</v>
      </c>
      <c r="DI107">
        <f t="shared" si="25"/>
        <v>0</v>
      </c>
      <c r="DJ107">
        <f>DF107</f>
        <v>3.68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ROW(Source!A532)</f>
        <v>532</v>
      </c>
      <c r="B108">
        <v>1473080740</v>
      </c>
      <c r="C108">
        <v>1473082264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391</v>
      </c>
      <c r="J108" t="s">
        <v>3</v>
      </c>
      <c r="K108" t="s">
        <v>392</v>
      </c>
      <c r="L108">
        <v>1191</v>
      </c>
      <c r="N108">
        <v>1013</v>
      </c>
      <c r="O108" t="s">
        <v>393</v>
      </c>
      <c r="P108" t="s">
        <v>393</v>
      </c>
      <c r="Q108">
        <v>1</v>
      </c>
      <c r="W108">
        <v>0</v>
      </c>
      <c r="X108">
        <v>476480486</v>
      </c>
      <c r="Y108">
        <f>(AT108*2)</f>
        <v>0.6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0.3</v>
      </c>
      <c r="AU108" t="s">
        <v>181</v>
      </c>
      <c r="AV108">
        <v>1</v>
      </c>
      <c r="AW108">
        <v>2</v>
      </c>
      <c r="AX108">
        <v>1473082268</v>
      </c>
      <c r="AY108">
        <v>1</v>
      </c>
      <c r="AZ108">
        <v>0</v>
      </c>
      <c r="BA108">
        <v>193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U108">
        <f>ROUND(AT108*Source!I532*AH108*AL108,2)</f>
        <v>0</v>
      </c>
      <c r="CV108">
        <f>ROUND(Y108*Source!I532,9)</f>
        <v>5.4</v>
      </c>
      <c r="CW108">
        <v>0</v>
      </c>
      <c r="CX108">
        <f>ROUND(Y108*Source!I532,9)</f>
        <v>5.4</v>
      </c>
      <c r="CY108">
        <f>AD108</f>
        <v>0</v>
      </c>
      <c r="CZ108">
        <f>AH108</f>
        <v>0</v>
      </c>
      <c r="DA108">
        <f>AL108</f>
        <v>1</v>
      </c>
      <c r="DB108">
        <f>ROUND((ROUND(AT108*CZ108,2)*2),6)</f>
        <v>0</v>
      </c>
      <c r="DC108">
        <f>ROUND((ROUND(AT108*AG108,2)*2),6)</f>
        <v>0</v>
      </c>
      <c r="DD108" t="s">
        <v>3</v>
      </c>
      <c r="DE108" t="s">
        <v>3</v>
      </c>
      <c r="DF108">
        <f t="shared" si="22"/>
        <v>0</v>
      </c>
      <c r="DG108">
        <f t="shared" si="23"/>
        <v>0</v>
      </c>
      <c r="DH108">
        <f t="shared" si="24"/>
        <v>0</v>
      </c>
      <c r="DI108">
        <f t="shared" si="25"/>
        <v>0</v>
      </c>
      <c r="DJ108">
        <f>DI108</f>
        <v>0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ROW(Source!A532)</f>
        <v>532</v>
      </c>
      <c r="B109">
        <v>1473080740</v>
      </c>
      <c r="C109">
        <v>1473082264</v>
      </c>
      <c r="D109">
        <v>1441836235</v>
      </c>
      <c r="E109">
        <v>1</v>
      </c>
      <c r="F109">
        <v>1</v>
      </c>
      <c r="G109">
        <v>15514512</v>
      </c>
      <c r="H109">
        <v>3</v>
      </c>
      <c r="I109" t="s">
        <v>398</v>
      </c>
      <c r="J109" t="s">
        <v>399</v>
      </c>
      <c r="K109" t="s">
        <v>400</v>
      </c>
      <c r="L109">
        <v>1346</v>
      </c>
      <c r="N109">
        <v>1009</v>
      </c>
      <c r="O109" t="s">
        <v>401</v>
      </c>
      <c r="P109" t="s">
        <v>401</v>
      </c>
      <c r="Q109">
        <v>1</v>
      </c>
      <c r="W109">
        <v>0</v>
      </c>
      <c r="X109">
        <v>-1595335418</v>
      </c>
      <c r="Y109">
        <f>(AT109*2)</f>
        <v>0.1</v>
      </c>
      <c r="AA109">
        <v>31.49</v>
      </c>
      <c r="AB109">
        <v>0</v>
      </c>
      <c r="AC109">
        <v>0</v>
      </c>
      <c r="AD109">
        <v>0</v>
      </c>
      <c r="AE109">
        <v>31.49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0.05</v>
      </c>
      <c r="AU109" t="s">
        <v>181</v>
      </c>
      <c r="AV109">
        <v>0</v>
      </c>
      <c r="AW109">
        <v>2</v>
      </c>
      <c r="AX109">
        <v>1473082269</v>
      </c>
      <c r="AY109">
        <v>1</v>
      </c>
      <c r="AZ109">
        <v>0</v>
      </c>
      <c r="BA109">
        <v>194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ROUND(Y109*Source!I532,9)</f>
        <v>0.9</v>
      </c>
      <c r="CY109">
        <f>AA109</f>
        <v>31.49</v>
      </c>
      <c r="CZ109">
        <f>AE109</f>
        <v>31.49</v>
      </c>
      <c r="DA109">
        <f>AI109</f>
        <v>1</v>
      </c>
      <c r="DB109">
        <f>ROUND((ROUND(AT109*CZ109,2)*2),6)</f>
        <v>3.14</v>
      </c>
      <c r="DC109">
        <f>ROUND((ROUND(AT109*AG109,2)*2),6)</f>
        <v>0</v>
      </c>
      <c r="DD109" t="s">
        <v>3</v>
      </c>
      <c r="DE109" t="s">
        <v>3</v>
      </c>
      <c r="DF109">
        <f t="shared" si="22"/>
        <v>28.34</v>
      </c>
      <c r="DG109">
        <f t="shared" si="23"/>
        <v>0</v>
      </c>
      <c r="DH109">
        <f t="shared" si="24"/>
        <v>0</v>
      </c>
      <c r="DI109">
        <f t="shared" si="25"/>
        <v>0</v>
      </c>
      <c r="DJ109">
        <f>DF109</f>
        <v>28.34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ROW(Source!A532)</f>
        <v>532</v>
      </c>
      <c r="B110">
        <v>1473080740</v>
      </c>
      <c r="C110">
        <v>1473082264</v>
      </c>
      <c r="D110">
        <v>1441834628</v>
      </c>
      <c r="E110">
        <v>1</v>
      </c>
      <c r="F110">
        <v>1</v>
      </c>
      <c r="G110">
        <v>15514512</v>
      </c>
      <c r="H110">
        <v>3</v>
      </c>
      <c r="I110" t="s">
        <v>447</v>
      </c>
      <c r="J110" t="s">
        <v>448</v>
      </c>
      <c r="K110" t="s">
        <v>449</v>
      </c>
      <c r="L110">
        <v>1348</v>
      </c>
      <c r="N110">
        <v>1009</v>
      </c>
      <c r="O110" t="s">
        <v>412</v>
      </c>
      <c r="P110" t="s">
        <v>412</v>
      </c>
      <c r="Q110">
        <v>1000</v>
      </c>
      <c r="W110">
        <v>0</v>
      </c>
      <c r="X110">
        <v>779500846</v>
      </c>
      <c r="Y110">
        <f>(AT110*2)</f>
        <v>8.0000000000000007E-5</v>
      </c>
      <c r="AA110">
        <v>73951.73</v>
      </c>
      <c r="AB110">
        <v>0</v>
      </c>
      <c r="AC110">
        <v>0</v>
      </c>
      <c r="AD110">
        <v>0</v>
      </c>
      <c r="AE110">
        <v>73951.73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4.0000000000000003E-5</v>
      </c>
      <c r="AU110" t="s">
        <v>181</v>
      </c>
      <c r="AV110">
        <v>0</v>
      </c>
      <c r="AW110">
        <v>2</v>
      </c>
      <c r="AX110">
        <v>1473082270</v>
      </c>
      <c r="AY110">
        <v>1</v>
      </c>
      <c r="AZ110">
        <v>0</v>
      </c>
      <c r="BA110">
        <v>195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ROUND(Y110*Source!I532,9)</f>
        <v>7.2000000000000005E-4</v>
      </c>
      <c r="CY110">
        <f>AA110</f>
        <v>73951.73</v>
      </c>
      <c r="CZ110">
        <f>AE110</f>
        <v>73951.73</v>
      </c>
      <c r="DA110">
        <f>AI110</f>
        <v>1</v>
      </c>
      <c r="DB110">
        <f>ROUND((ROUND(AT110*CZ110,2)*2),6)</f>
        <v>5.92</v>
      </c>
      <c r="DC110">
        <f>ROUND((ROUND(AT110*AG110,2)*2),6)</f>
        <v>0</v>
      </c>
      <c r="DD110" t="s">
        <v>3</v>
      </c>
      <c r="DE110" t="s">
        <v>3</v>
      </c>
      <c r="DF110">
        <f t="shared" si="22"/>
        <v>53.25</v>
      </c>
      <c r="DG110">
        <f t="shared" si="23"/>
        <v>0</v>
      </c>
      <c r="DH110">
        <f t="shared" si="24"/>
        <v>0</v>
      </c>
      <c r="DI110">
        <f t="shared" si="25"/>
        <v>0</v>
      </c>
      <c r="DJ110">
        <f>DF110</f>
        <v>53.25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ROW(Source!A533)</f>
        <v>533</v>
      </c>
      <c r="B111">
        <v>1473080740</v>
      </c>
      <c r="C111">
        <v>1473082271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391</v>
      </c>
      <c r="J111" t="s">
        <v>3</v>
      </c>
      <c r="K111" t="s">
        <v>392</v>
      </c>
      <c r="L111">
        <v>1191</v>
      </c>
      <c r="N111">
        <v>1013</v>
      </c>
      <c r="O111" t="s">
        <v>393</v>
      </c>
      <c r="P111" t="s">
        <v>393</v>
      </c>
      <c r="Q111">
        <v>1</v>
      </c>
      <c r="W111">
        <v>0</v>
      </c>
      <c r="X111">
        <v>476480486</v>
      </c>
      <c r="Y111">
        <f>(AT111*2)</f>
        <v>2.12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1.06</v>
      </c>
      <c r="AU111" t="s">
        <v>181</v>
      </c>
      <c r="AV111">
        <v>1</v>
      </c>
      <c r="AW111">
        <v>2</v>
      </c>
      <c r="AX111">
        <v>1473082273</v>
      </c>
      <c r="AY111">
        <v>1</v>
      </c>
      <c r="AZ111">
        <v>0</v>
      </c>
      <c r="BA111">
        <v>196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U111">
        <f>ROUND(AT111*Source!I533*AH111*AL111,2)</f>
        <v>0</v>
      </c>
      <c r="CV111">
        <f>ROUND(Y111*Source!I533,9)</f>
        <v>12.72</v>
      </c>
      <c r="CW111">
        <v>0</v>
      </c>
      <c r="CX111">
        <f>ROUND(Y111*Source!I533,9)</f>
        <v>12.72</v>
      </c>
      <c r="CY111">
        <f>AD111</f>
        <v>0</v>
      </c>
      <c r="CZ111">
        <f>AH111</f>
        <v>0</v>
      </c>
      <c r="DA111">
        <f>AL111</f>
        <v>1</v>
      </c>
      <c r="DB111">
        <f>ROUND((ROUND(AT111*CZ111,2)*2),6)</f>
        <v>0</v>
      </c>
      <c r="DC111">
        <f>ROUND((ROUND(AT111*AG111,2)*2),6)</f>
        <v>0</v>
      </c>
      <c r="DD111" t="s">
        <v>3</v>
      </c>
      <c r="DE111" t="s">
        <v>3</v>
      </c>
      <c r="DF111">
        <f t="shared" si="22"/>
        <v>0</v>
      </c>
      <c r="DG111">
        <f t="shared" si="23"/>
        <v>0</v>
      </c>
      <c r="DH111">
        <f t="shared" si="24"/>
        <v>0</v>
      </c>
      <c r="DI111">
        <f t="shared" si="25"/>
        <v>0</v>
      </c>
      <c r="DJ111">
        <f>DI111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ROW(Source!A569)</f>
        <v>569</v>
      </c>
      <c r="B112">
        <v>1473080740</v>
      </c>
      <c r="C112">
        <v>1473082274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391</v>
      </c>
      <c r="J112" t="s">
        <v>3</v>
      </c>
      <c r="K112" t="s">
        <v>392</v>
      </c>
      <c r="L112">
        <v>1191</v>
      </c>
      <c r="N112">
        <v>1013</v>
      </c>
      <c r="O112" t="s">
        <v>393</v>
      </c>
      <c r="P112" t="s">
        <v>393</v>
      </c>
      <c r="Q112">
        <v>1</v>
      </c>
      <c r="W112">
        <v>0</v>
      </c>
      <c r="X112">
        <v>476480486</v>
      </c>
      <c r="Y112">
        <f>(AT112*1.04)</f>
        <v>0.18720000000000001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0.18</v>
      </c>
      <c r="AU112" t="s">
        <v>280</v>
      </c>
      <c r="AV112">
        <v>1</v>
      </c>
      <c r="AW112">
        <v>2</v>
      </c>
      <c r="AX112">
        <v>1473082277</v>
      </c>
      <c r="AY112">
        <v>1</v>
      </c>
      <c r="AZ112">
        <v>0</v>
      </c>
      <c r="BA112">
        <v>197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U112">
        <f>ROUND(AT112*Source!I569*AH112*AL112,2)</f>
        <v>0</v>
      </c>
      <c r="CV112">
        <f>ROUND(Y112*Source!I569,9)</f>
        <v>50.543999999999997</v>
      </c>
      <c r="CW112">
        <v>0</v>
      </c>
      <c r="CX112">
        <f>ROUND(Y112*Source!I569,9)</f>
        <v>50.543999999999997</v>
      </c>
      <c r="CY112">
        <f>AD112</f>
        <v>0</v>
      </c>
      <c r="CZ112">
        <f>AH112</f>
        <v>0</v>
      </c>
      <c r="DA112">
        <f>AL112</f>
        <v>1</v>
      </c>
      <c r="DB112">
        <f>ROUND((ROUND(AT112*CZ112,2)*1.04),6)</f>
        <v>0</v>
      </c>
      <c r="DC112">
        <f>ROUND((ROUND(AT112*AG112,2)*1.04),6)</f>
        <v>0</v>
      </c>
      <c r="DD112" t="s">
        <v>3</v>
      </c>
      <c r="DE112" t="s">
        <v>3</v>
      </c>
      <c r="DF112">
        <f t="shared" si="22"/>
        <v>0</v>
      </c>
      <c r="DG112">
        <f t="shared" si="23"/>
        <v>0</v>
      </c>
      <c r="DH112">
        <f t="shared" si="24"/>
        <v>0</v>
      </c>
      <c r="DI112">
        <f t="shared" si="25"/>
        <v>0</v>
      </c>
      <c r="DJ112">
        <f>DI112</f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ROW(Source!A569)</f>
        <v>569</v>
      </c>
      <c r="B113">
        <v>1473080740</v>
      </c>
      <c r="C113">
        <v>1473082274</v>
      </c>
      <c r="D113">
        <v>1441836235</v>
      </c>
      <c r="E113">
        <v>1</v>
      </c>
      <c r="F113">
        <v>1</v>
      </c>
      <c r="G113">
        <v>15514512</v>
      </c>
      <c r="H113">
        <v>3</v>
      </c>
      <c r="I113" t="s">
        <v>398</v>
      </c>
      <c r="J113" t="s">
        <v>399</v>
      </c>
      <c r="K113" t="s">
        <v>400</v>
      </c>
      <c r="L113">
        <v>1346</v>
      </c>
      <c r="N113">
        <v>1009</v>
      </c>
      <c r="O113" t="s">
        <v>401</v>
      </c>
      <c r="P113" t="s">
        <v>401</v>
      </c>
      <c r="Q113">
        <v>1</v>
      </c>
      <c r="W113">
        <v>0</v>
      </c>
      <c r="X113">
        <v>-1595335418</v>
      </c>
      <c r="Y113">
        <f>AT113</f>
        <v>0.04</v>
      </c>
      <c r="AA113">
        <v>31.49</v>
      </c>
      <c r="AB113">
        <v>0</v>
      </c>
      <c r="AC113">
        <v>0</v>
      </c>
      <c r="AD113">
        <v>0</v>
      </c>
      <c r="AE113">
        <v>31.49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0.04</v>
      </c>
      <c r="AU113" t="s">
        <v>3</v>
      </c>
      <c r="AV113">
        <v>0</v>
      </c>
      <c r="AW113">
        <v>2</v>
      </c>
      <c r="AX113">
        <v>1473082278</v>
      </c>
      <c r="AY113">
        <v>1</v>
      </c>
      <c r="AZ113">
        <v>0</v>
      </c>
      <c r="BA113">
        <v>198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ROUND(Y113*Source!I569,9)</f>
        <v>10.8</v>
      </c>
      <c r="CY113">
        <f>AA113</f>
        <v>31.49</v>
      </c>
      <c r="CZ113">
        <f>AE113</f>
        <v>31.49</v>
      </c>
      <c r="DA113">
        <f>AI113</f>
        <v>1</v>
      </c>
      <c r="DB113">
        <f>ROUND(ROUND(AT113*CZ113,2),6)</f>
        <v>1.26</v>
      </c>
      <c r="DC113">
        <f>ROUND(ROUND(AT113*AG113,2),6)</f>
        <v>0</v>
      </c>
      <c r="DD113" t="s">
        <v>3</v>
      </c>
      <c r="DE113" t="s">
        <v>3</v>
      </c>
      <c r="DF113">
        <f t="shared" si="22"/>
        <v>340.09</v>
      </c>
      <c r="DG113">
        <f t="shared" si="23"/>
        <v>0</v>
      </c>
      <c r="DH113">
        <f t="shared" si="24"/>
        <v>0</v>
      </c>
      <c r="DI113">
        <f t="shared" si="25"/>
        <v>0</v>
      </c>
      <c r="DJ113">
        <f>DF113</f>
        <v>340.09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ROW(Source!A570)</f>
        <v>570</v>
      </c>
      <c r="B114">
        <v>1473080740</v>
      </c>
      <c r="C114">
        <v>1473082279</v>
      </c>
      <c r="D114">
        <v>1441819193</v>
      </c>
      <c r="E114">
        <v>15514512</v>
      </c>
      <c r="F114">
        <v>1</v>
      </c>
      <c r="G114">
        <v>15514512</v>
      </c>
      <c r="H114">
        <v>1</v>
      </c>
      <c r="I114" t="s">
        <v>391</v>
      </c>
      <c r="J114" t="s">
        <v>3</v>
      </c>
      <c r="K114" t="s">
        <v>392</v>
      </c>
      <c r="L114">
        <v>1191</v>
      </c>
      <c r="N114">
        <v>1013</v>
      </c>
      <c r="O114" t="s">
        <v>393</v>
      </c>
      <c r="P114" t="s">
        <v>393</v>
      </c>
      <c r="Q114">
        <v>1</v>
      </c>
      <c r="W114">
        <v>0</v>
      </c>
      <c r="X114">
        <v>476480486</v>
      </c>
      <c r="Y114">
        <f>(AT114*1.04)</f>
        <v>0.18720000000000001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0.18</v>
      </c>
      <c r="AU114" t="s">
        <v>280</v>
      </c>
      <c r="AV114">
        <v>1</v>
      </c>
      <c r="AW114">
        <v>2</v>
      </c>
      <c r="AX114">
        <v>1473082282</v>
      </c>
      <c r="AY114">
        <v>1</v>
      </c>
      <c r="AZ114">
        <v>0</v>
      </c>
      <c r="BA114">
        <v>199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U114">
        <f>ROUND(AT114*Source!I570*AH114*AL114,2)</f>
        <v>0</v>
      </c>
      <c r="CV114">
        <f>ROUND(Y114*Source!I570,9)</f>
        <v>2.2464</v>
      </c>
      <c r="CW114">
        <v>0</v>
      </c>
      <c r="CX114">
        <f>ROUND(Y114*Source!I570,9)</f>
        <v>2.2464</v>
      </c>
      <c r="CY114">
        <f>AD114</f>
        <v>0</v>
      </c>
      <c r="CZ114">
        <f>AH114</f>
        <v>0</v>
      </c>
      <c r="DA114">
        <f>AL114</f>
        <v>1</v>
      </c>
      <c r="DB114">
        <f>ROUND((ROUND(AT114*CZ114,2)*1.04),6)</f>
        <v>0</v>
      </c>
      <c r="DC114">
        <f>ROUND((ROUND(AT114*AG114,2)*1.04),6)</f>
        <v>0</v>
      </c>
      <c r="DD114" t="s">
        <v>3</v>
      </c>
      <c r="DE114" t="s">
        <v>3</v>
      </c>
      <c r="DF114">
        <f t="shared" si="22"/>
        <v>0</v>
      </c>
      <c r="DG114">
        <f t="shared" si="23"/>
        <v>0</v>
      </c>
      <c r="DH114">
        <f t="shared" si="24"/>
        <v>0</v>
      </c>
      <c r="DI114">
        <f t="shared" si="25"/>
        <v>0</v>
      </c>
      <c r="DJ114">
        <f>DI114</f>
        <v>0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ROW(Source!A570)</f>
        <v>570</v>
      </c>
      <c r="B115">
        <v>1473080740</v>
      </c>
      <c r="C115">
        <v>1473082279</v>
      </c>
      <c r="D115">
        <v>1441836235</v>
      </c>
      <c r="E115">
        <v>1</v>
      </c>
      <c r="F115">
        <v>1</v>
      </c>
      <c r="G115">
        <v>15514512</v>
      </c>
      <c r="H115">
        <v>3</v>
      </c>
      <c r="I115" t="s">
        <v>398</v>
      </c>
      <c r="J115" t="s">
        <v>399</v>
      </c>
      <c r="K115" t="s">
        <v>400</v>
      </c>
      <c r="L115">
        <v>1346</v>
      </c>
      <c r="N115">
        <v>1009</v>
      </c>
      <c r="O115" t="s">
        <v>401</v>
      </c>
      <c r="P115" t="s">
        <v>401</v>
      </c>
      <c r="Q115">
        <v>1</v>
      </c>
      <c r="W115">
        <v>0</v>
      </c>
      <c r="X115">
        <v>-1595335418</v>
      </c>
      <c r="Y115">
        <f>AT115</f>
        <v>0.05</v>
      </c>
      <c r="AA115">
        <v>31.49</v>
      </c>
      <c r="AB115">
        <v>0</v>
      </c>
      <c r="AC115">
        <v>0</v>
      </c>
      <c r="AD115">
        <v>0</v>
      </c>
      <c r="AE115">
        <v>31.49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0.05</v>
      </c>
      <c r="AU115" t="s">
        <v>3</v>
      </c>
      <c r="AV115">
        <v>0</v>
      </c>
      <c r="AW115">
        <v>2</v>
      </c>
      <c r="AX115">
        <v>1473082283</v>
      </c>
      <c r="AY115">
        <v>1</v>
      </c>
      <c r="AZ115">
        <v>0</v>
      </c>
      <c r="BA115">
        <v>200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ROUND(Y115*Source!I570,9)</f>
        <v>0.6</v>
      </c>
      <c r="CY115">
        <f>AA115</f>
        <v>31.49</v>
      </c>
      <c r="CZ115">
        <f>AE115</f>
        <v>31.49</v>
      </c>
      <c r="DA115">
        <f>AI115</f>
        <v>1</v>
      </c>
      <c r="DB115">
        <f>ROUND(ROUND(AT115*CZ115,2),6)</f>
        <v>1.57</v>
      </c>
      <c r="DC115">
        <f>ROUND(ROUND(AT115*AG115,2),6)</f>
        <v>0</v>
      </c>
      <c r="DD115" t="s">
        <v>3</v>
      </c>
      <c r="DE115" t="s">
        <v>3</v>
      </c>
      <c r="DF115">
        <f t="shared" si="22"/>
        <v>18.89</v>
      </c>
      <c r="DG115">
        <f t="shared" si="23"/>
        <v>0</v>
      </c>
      <c r="DH115">
        <f t="shared" si="24"/>
        <v>0</v>
      </c>
      <c r="DI115">
        <f t="shared" si="25"/>
        <v>0</v>
      </c>
      <c r="DJ115">
        <f>DF115</f>
        <v>18.89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ROW(Source!A571)</f>
        <v>571</v>
      </c>
      <c r="B116">
        <v>1473080740</v>
      </c>
      <c r="C116">
        <v>1473082284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391</v>
      </c>
      <c r="J116" t="s">
        <v>3</v>
      </c>
      <c r="K116" t="s">
        <v>392</v>
      </c>
      <c r="L116">
        <v>1191</v>
      </c>
      <c r="N116">
        <v>1013</v>
      </c>
      <c r="O116" t="s">
        <v>393</v>
      </c>
      <c r="P116" t="s">
        <v>393</v>
      </c>
      <c r="Q116">
        <v>1</v>
      </c>
      <c r="W116">
        <v>0</v>
      </c>
      <c r="X116">
        <v>476480486</v>
      </c>
      <c r="Y116">
        <f>(AT116*4)</f>
        <v>1.04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0.26</v>
      </c>
      <c r="AU116" t="s">
        <v>28</v>
      </c>
      <c r="AV116">
        <v>1</v>
      </c>
      <c r="AW116">
        <v>2</v>
      </c>
      <c r="AX116">
        <v>1473082287</v>
      </c>
      <c r="AY116">
        <v>1</v>
      </c>
      <c r="AZ116">
        <v>0</v>
      </c>
      <c r="BA116">
        <v>201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U116">
        <f>ROUND(AT116*Source!I571*AH116*AL116,2)</f>
        <v>0</v>
      </c>
      <c r="CV116">
        <f>ROUND(Y116*Source!I571,9)</f>
        <v>31.2</v>
      </c>
      <c r="CW116">
        <v>0</v>
      </c>
      <c r="CX116">
        <f>ROUND(Y116*Source!I571,9)</f>
        <v>31.2</v>
      </c>
      <c r="CY116">
        <f>AD116</f>
        <v>0</v>
      </c>
      <c r="CZ116">
        <f>AH116</f>
        <v>0</v>
      </c>
      <c r="DA116">
        <f>AL116</f>
        <v>1</v>
      </c>
      <c r="DB116">
        <f>ROUND((ROUND(AT116*CZ116,2)*4),6)</f>
        <v>0</v>
      </c>
      <c r="DC116">
        <f>ROUND((ROUND(AT116*AG116,2)*4),6)</f>
        <v>0</v>
      </c>
      <c r="DD116" t="s">
        <v>3</v>
      </c>
      <c r="DE116" t="s">
        <v>3</v>
      </c>
      <c r="DF116">
        <f t="shared" si="22"/>
        <v>0</v>
      </c>
      <c r="DG116">
        <f t="shared" si="23"/>
        <v>0</v>
      </c>
      <c r="DH116">
        <f t="shared" si="24"/>
        <v>0</v>
      </c>
      <c r="DI116">
        <f t="shared" si="25"/>
        <v>0</v>
      </c>
      <c r="DJ116">
        <f>DI116</f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ROW(Source!A571)</f>
        <v>571</v>
      </c>
      <c r="B117">
        <v>1473080740</v>
      </c>
      <c r="C117">
        <v>1473082284</v>
      </c>
      <c r="D117">
        <v>1441836235</v>
      </c>
      <c r="E117">
        <v>1</v>
      </c>
      <c r="F117">
        <v>1</v>
      </c>
      <c r="G117">
        <v>15514512</v>
      </c>
      <c r="H117">
        <v>3</v>
      </c>
      <c r="I117" t="s">
        <v>398</v>
      </c>
      <c r="J117" t="s">
        <v>399</v>
      </c>
      <c r="K117" t="s">
        <v>400</v>
      </c>
      <c r="L117">
        <v>1346</v>
      </c>
      <c r="N117">
        <v>1009</v>
      </c>
      <c r="O117" t="s">
        <v>401</v>
      </c>
      <c r="P117" t="s">
        <v>401</v>
      </c>
      <c r="Q117">
        <v>1</v>
      </c>
      <c r="W117">
        <v>0</v>
      </c>
      <c r="X117">
        <v>-1595335418</v>
      </c>
      <c r="Y117">
        <f>(AT117*4)</f>
        <v>0.16</v>
      </c>
      <c r="AA117">
        <v>31.49</v>
      </c>
      <c r="AB117">
        <v>0</v>
      </c>
      <c r="AC117">
        <v>0</v>
      </c>
      <c r="AD117">
        <v>0</v>
      </c>
      <c r="AE117">
        <v>31.49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0.04</v>
      </c>
      <c r="AU117" t="s">
        <v>28</v>
      </c>
      <c r="AV117">
        <v>0</v>
      </c>
      <c r="AW117">
        <v>2</v>
      </c>
      <c r="AX117">
        <v>1473082288</v>
      </c>
      <c r="AY117">
        <v>1</v>
      </c>
      <c r="AZ117">
        <v>0</v>
      </c>
      <c r="BA117">
        <v>202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ROUND(Y117*Source!I571,9)</f>
        <v>4.8</v>
      </c>
      <c r="CY117">
        <f>AA117</f>
        <v>31.49</v>
      </c>
      <c r="CZ117">
        <f>AE117</f>
        <v>31.49</v>
      </c>
      <c r="DA117">
        <f>AI117</f>
        <v>1</v>
      </c>
      <c r="DB117">
        <f>ROUND((ROUND(AT117*CZ117,2)*4),6)</f>
        <v>5.04</v>
      </c>
      <c r="DC117">
        <f>ROUND((ROUND(AT117*AG117,2)*4),6)</f>
        <v>0</v>
      </c>
      <c r="DD117" t="s">
        <v>3</v>
      </c>
      <c r="DE117" t="s">
        <v>3</v>
      </c>
      <c r="DF117">
        <f t="shared" si="22"/>
        <v>151.15</v>
      </c>
      <c r="DG117">
        <f t="shared" si="23"/>
        <v>0</v>
      </c>
      <c r="DH117">
        <f t="shared" si="24"/>
        <v>0</v>
      </c>
      <c r="DI117">
        <f t="shared" si="25"/>
        <v>0</v>
      </c>
      <c r="DJ117">
        <f>DF117</f>
        <v>151.15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ROW(Source!A572)</f>
        <v>572</v>
      </c>
      <c r="B118">
        <v>1473080740</v>
      </c>
      <c r="C118">
        <v>1473082289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391</v>
      </c>
      <c r="J118" t="s">
        <v>3</v>
      </c>
      <c r="K118" t="s">
        <v>392</v>
      </c>
      <c r="L118">
        <v>1191</v>
      </c>
      <c r="N118">
        <v>1013</v>
      </c>
      <c r="O118" t="s">
        <v>393</v>
      </c>
      <c r="P118" t="s">
        <v>393</v>
      </c>
      <c r="Q118">
        <v>1</v>
      </c>
      <c r="W118">
        <v>0</v>
      </c>
      <c r="X118">
        <v>476480486</v>
      </c>
      <c r="Y118">
        <f>(AT118*1.04)</f>
        <v>0.37440000000000001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0.36</v>
      </c>
      <c r="AU118" t="s">
        <v>293</v>
      </c>
      <c r="AV118">
        <v>1</v>
      </c>
      <c r="AW118">
        <v>2</v>
      </c>
      <c r="AX118">
        <v>1473082294</v>
      </c>
      <c r="AY118">
        <v>1</v>
      </c>
      <c r="AZ118">
        <v>0</v>
      </c>
      <c r="BA118">
        <v>203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U118">
        <f>ROUND(AT118*Source!I572*AH118*AL118,2)</f>
        <v>0</v>
      </c>
      <c r="CV118">
        <f>ROUND(Y118*Source!I572,9)</f>
        <v>19.0944</v>
      </c>
      <c r="CW118">
        <v>0</v>
      </c>
      <c r="CX118">
        <f>ROUND(Y118*Source!I572,9)</f>
        <v>19.0944</v>
      </c>
      <c r="CY118">
        <f>AD118</f>
        <v>0</v>
      </c>
      <c r="CZ118">
        <f>AH118</f>
        <v>0</v>
      </c>
      <c r="DA118">
        <f>AL118</f>
        <v>1</v>
      </c>
      <c r="DB118">
        <f>ROUND((ROUND(AT118*CZ118,2)*1.04),6)</f>
        <v>0</v>
      </c>
      <c r="DC118">
        <f>ROUND((ROUND(AT118*AG118,2)*1.04),6)</f>
        <v>0</v>
      </c>
      <c r="DD118" t="s">
        <v>3</v>
      </c>
      <c r="DE118" t="s">
        <v>3</v>
      </c>
      <c r="DF118">
        <f t="shared" si="22"/>
        <v>0</v>
      </c>
      <c r="DG118">
        <f t="shared" si="23"/>
        <v>0</v>
      </c>
      <c r="DH118">
        <f t="shared" si="24"/>
        <v>0</v>
      </c>
      <c r="DI118">
        <f t="shared" si="25"/>
        <v>0</v>
      </c>
      <c r="DJ118">
        <f>DI118</f>
        <v>0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ROW(Source!A572)</f>
        <v>572</v>
      </c>
      <c r="B119">
        <v>1473080740</v>
      </c>
      <c r="C119">
        <v>1473082289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398</v>
      </c>
      <c r="J119" t="s">
        <v>399</v>
      </c>
      <c r="K119" t="s">
        <v>400</v>
      </c>
      <c r="L119">
        <v>1346</v>
      </c>
      <c r="N119">
        <v>1009</v>
      </c>
      <c r="O119" t="s">
        <v>401</v>
      </c>
      <c r="P119" t="s">
        <v>401</v>
      </c>
      <c r="Q119">
        <v>1</v>
      </c>
      <c r="W119">
        <v>0</v>
      </c>
      <c r="X119">
        <v>-1595335418</v>
      </c>
      <c r="Y119">
        <f>AT119</f>
        <v>0.05</v>
      </c>
      <c r="AA119">
        <v>31.49</v>
      </c>
      <c r="AB119">
        <v>0</v>
      </c>
      <c r="AC119">
        <v>0</v>
      </c>
      <c r="AD119">
        <v>0</v>
      </c>
      <c r="AE119">
        <v>31.49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0.05</v>
      </c>
      <c r="AU119" t="s">
        <v>3</v>
      </c>
      <c r="AV119">
        <v>0</v>
      </c>
      <c r="AW119">
        <v>2</v>
      </c>
      <c r="AX119">
        <v>1473082295</v>
      </c>
      <c r="AY119">
        <v>1</v>
      </c>
      <c r="AZ119">
        <v>0</v>
      </c>
      <c r="BA119">
        <v>204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ROUND(Y119*Source!I572,9)</f>
        <v>2.5499999999999998</v>
      </c>
      <c r="CY119">
        <f>AA119</f>
        <v>31.49</v>
      </c>
      <c r="CZ119">
        <f>AE119</f>
        <v>31.49</v>
      </c>
      <c r="DA119">
        <f>AI119</f>
        <v>1</v>
      </c>
      <c r="DB119">
        <f>ROUND(ROUND(AT119*CZ119,2),6)</f>
        <v>1.57</v>
      </c>
      <c r="DC119">
        <f>ROUND(ROUND(AT119*AG119,2),6)</f>
        <v>0</v>
      </c>
      <c r="DD119" t="s">
        <v>3</v>
      </c>
      <c r="DE119" t="s">
        <v>3</v>
      </c>
      <c r="DF119">
        <f t="shared" si="22"/>
        <v>80.3</v>
      </c>
      <c r="DG119">
        <f t="shared" si="23"/>
        <v>0</v>
      </c>
      <c r="DH119">
        <f t="shared" si="24"/>
        <v>0</v>
      </c>
      <c r="DI119">
        <f t="shared" si="25"/>
        <v>0</v>
      </c>
      <c r="DJ119">
        <f>DF119</f>
        <v>80.3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ROW(Source!A572)</f>
        <v>572</v>
      </c>
      <c r="B120">
        <v>1473080740</v>
      </c>
      <c r="C120">
        <v>1473082289</v>
      </c>
      <c r="D120">
        <v>1441839822</v>
      </c>
      <c r="E120">
        <v>1</v>
      </c>
      <c r="F120">
        <v>1</v>
      </c>
      <c r="G120">
        <v>15514512</v>
      </c>
      <c r="H120">
        <v>3</v>
      </c>
      <c r="I120" t="s">
        <v>450</v>
      </c>
      <c r="J120" t="s">
        <v>451</v>
      </c>
      <c r="K120" t="s">
        <v>452</v>
      </c>
      <c r="L120">
        <v>1296</v>
      </c>
      <c r="N120">
        <v>1002</v>
      </c>
      <c r="O120" t="s">
        <v>405</v>
      </c>
      <c r="P120" t="s">
        <v>405</v>
      </c>
      <c r="Q120">
        <v>1</v>
      </c>
      <c r="W120">
        <v>0</v>
      </c>
      <c r="X120">
        <v>1026201517</v>
      </c>
      <c r="Y120">
        <f>AT120</f>
        <v>0.02</v>
      </c>
      <c r="AA120">
        <v>157.41</v>
      </c>
      <c r="AB120">
        <v>0</v>
      </c>
      <c r="AC120">
        <v>0</v>
      </c>
      <c r="AD120">
        <v>0</v>
      </c>
      <c r="AE120">
        <v>157.41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0.02</v>
      </c>
      <c r="AU120" t="s">
        <v>3</v>
      </c>
      <c r="AV120">
        <v>0</v>
      </c>
      <c r="AW120">
        <v>2</v>
      </c>
      <c r="AX120">
        <v>1473082296</v>
      </c>
      <c r="AY120">
        <v>1</v>
      </c>
      <c r="AZ120">
        <v>0</v>
      </c>
      <c r="BA120">
        <v>205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ROUND(Y120*Source!I572,9)</f>
        <v>1.02</v>
      </c>
      <c r="CY120">
        <f>AA120</f>
        <v>157.41</v>
      </c>
      <c r="CZ120">
        <f>AE120</f>
        <v>157.41</v>
      </c>
      <c r="DA120">
        <f>AI120</f>
        <v>1</v>
      </c>
      <c r="DB120">
        <f>ROUND(ROUND(AT120*CZ120,2),6)</f>
        <v>3.15</v>
      </c>
      <c r="DC120">
        <f>ROUND(ROUND(AT120*AG120,2),6)</f>
        <v>0</v>
      </c>
      <c r="DD120" t="s">
        <v>3</v>
      </c>
      <c r="DE120" t="s">
        <v>3</v>
      </c>
      <c r="DF120">
        <f t="shared" si="22"/>
        <v>160.56</v>
      </c>
      <c r="DG120">
        <f t="shared" si="23"/>
        <v>0</v>
      </c>
      <c r="DH120">
        <f t="shared" si="24"/>
        <v>0</v>
      </c>
      <c r="DI120">
        <f t="shared" si="25"/>
        <v>0</v>
      </c>
      <c r="DJ120">
        <f>DF120</f>
        <v>160.56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ROW(Source!A572)</f>
        <v>572</v>
      </c>
      <c r="B121">
        <v>1473080740</v>
      </c>
      <c r="C121">
        <v>1473082289</v>
      </c>
      <c r="D121">
        <v>1441834719</v>
      </c>
      <c r="E121">
        <v>1</v>
      </c>
      <c r="F121">
        <v>1</v>
      </c>
      <c r="G121">
        <v>15514512</v>
      </c>
      <c r="H121">
        <v>3</v>
      </c>
      <c r="I121" t="s">
        <v>453</v>
      </c>
      <c r="J121" t="s">
        <v>454</v>
      </c>
      <c r="K121" t="s">
        <v>455</v>
      </c>
      <c r="L121">
        <v>1296</v>
      </c>
      <c r="N121">
        <v>1002</v>
      </c>
      <c r="O121" t="s">
        <v>405</v>
      </c>
      <c r="P121" t="s">
        <v>405</v>
      </c>
      <c r="Q121">
        <v>1</v>
      </c>
      <c r="W121">
        <v>0</v>
      </c>
      <c r="X121">
        <v>1595027121</v>
      </c>
      <c r="Y121">
        <f>AT121</f>
        <v>0.01</v>
      </c>
      <c r="AA121">
        <v>485.63</v>
      </c>
      <c r="AB121">
        <v>0</v>
      </c>
      <c r="AC121">
        <v>0</v>
      </c>
      <c r="AD121">
        <v>0</v>
      </c>
      <c r="AE121">
        <v>485.63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0.01</v>
      </c>
      <c r="AU121" t="s">
        <v>3</v>
      </c>
      <c r="AV121">
        <v>0</v>
      </c>
      <c r="AW121">
        <v>2</v>
      </c>
      <c r="AX121">
        <v>1473082297</v>
      </c>
      <c r="AY121">
        <v>1</v>
      </c>
      <c r="AZ121">
        <v>0</v>
      </c>
      <c r="BA121">
        <v>206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ROUND(Y121*Source!I572,9)</f>
        <v>0.51</v>
      </c>
      <c r="CY121">
        <f>AA121</f>
        <v>485.63</v>
      </c>
      <c r="CZ121">
        <f>AE121</f>
        <v>485.63</v>
      </c>
      <c r="DA121">
        <f>AI121</f>
        <v>1</v>
      </c>
      <c r="DB121">
        <f>ROUND(ROUND(AT121*CZ121,2),6)</f>
        <v>4.8600000000000003</v>
      </c>
      <c r="DC121">
        <f>ROUND(ROUND(AT121*AG121,2),6)</f>
        <v>0</v>
      </c>
      <c r="DD121" t="s">
        <v>3</v>
      </c>
      <c r="DE121" t="s">
        <v>3</v>
      </c>
      <c r="DF121">
        <f t="shared" si="22"/>
        <v>247.67</v>
      </c>
      <c r="DG121">
        <f t="shared" si="23"/>
        <v>0</v>
      </c>
      <c r="DH121">
        <f t="shared" si="24"/>
        <v>0</v>
      </c>
      <c r="DI121">
        <f t="shared" si="25"/>
        <v>0</v>
      </c>
      <c r="DJ121">
        <f>DF121</f>
        <v>247.67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ROW(Source!A573)</f>
        <v>573</v>
      </c>
      <c r="B122">
        <v>1473080740</v>
      </c>
      <c r="C122">
        <v>1473082298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391</v>
      </c>
      <c r="J122" t="s">
        <v>3</v>
      </c>
      <c r="K122" t="s">
        <v>392</v>
      </c>
      <c r="L122">
        <v>1191</v>
      </c>
      <c r="N122">
        <v>1013</v>
      </c>
      <c r="O122" t="s">
        <v>393</v>
      </c>
      <c r="P122" t="s">
        <v>393</v>
      </c>
      <c r="Q122">
        <v>1</v>
      </c>
      <c r="W122">
        <v>0</v>
      </c>
      <c r="X122">
        <v>476480486</v>
      </c>
      <c r="Y122">
        <f>(AT122*1.04)</f>
        <v>0.18720000000000001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0.18</v>
      </c>
      <c r="AU122" t="s">
        <v>280</v>
      </c>
      <c r="AV122">
        <v>1</v>
      </c>
      <c r="AW122">
        <v>2</v>
      </c>
      <c r="AX122">
        <v>1473082301</v>
      </c>
      <c r="AY122">
        <v>1</v>
      </c>
      <c r="AZ122">
        <v>0</v>
      </c>
      <c r="BA122">
        <v>207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U122">
        <f>ROUND(AT122*Source!I573*AH122*AL122,2)</f>
        <v>0</v>
      </c>
      <c r="CV122">
        <f>ROUND(Y122*Source!I573,9)</f>
        <v>164.73599999999999</v>
      </c>
      <c r="CW122">
        <v>0</v>
      </c>
      <c r="CX122">
        <f>ROUND(Y122*Source!I573,9)</f>
        <v>164.73599999999999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ROUND((ROUND(AT122*CZ122,2)*1.04),6)</f>
        <v>0</v>
      </c>
      <c r="DC122">
        <f>ROUND((ROUND(AT122*AG122,2)*1.04),6)</f>
        <v>0</v>
      </c>
      <c r="DD122" t="s">
        <v>3</v>
      </c>
      <c r="DE122" t="s">
        <v>3</v>
      </c>
      <c r="DF122">
        <f t="shared" si="22"/>
        <v>0</v>
      </c>
      <c r="DG122">
        <f t="shared" si="23"/>
        <v>0</v>
      </c>
      <c r="DH122">
        <f t="shared" si="24"/>
        <v>0</v>
      </c>
      <c r="DI122">
        <f t="shared" si="25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ROW(Source!A573)</f>
        <v>573</v>
      </c>
      <c r="B123">
        <v>1473080740</v>
      </c>
      <c r="C123">
        <v>1473082298</v>
      </c>
      <c r="D123">
        <v>1441836235</v>
      </c>
      <c r="E123">
        <v>1</v>
      </c>
      <c r="F123">
        <v>1</v>
      </c>
      <c r="G123">
        <v>15514512</v>
      </c>
      <c r="H123">
        <v>3</v>
      </c>
      <c r="I123" t="s">
        <v>398</v>
      </c>
      <c r="J123" t="s">
        <v>399</v>
      </c>
      <c r="K123" t="s">
        <v>400</v>
      </c>
      <c r="L123">
        <v>1346</v>
      </c>
      <c r="N123">
        <v>1009</v>
      </c>
      <c r="O123" t="s">
        <v>401</v>
      </c>
      <c r="P123" t="s">
        <v>401</v>
      </c>
      <c r="Q123">
        <v>1</v>
      </c>
      <c r="W123">
        <v>0</v>
      </c>
      <c r="X123">
        <v>-1595335418</v>
      </c>
      <c r="Y123">
        <f>AT123</f>
        <v>0.04</v>
      </c>
      <c r="AA123">
        <v>31.49</v>
      </c>
      <c r="AB123">
        <v>0</v>
      </c>
      <c r="AC123">
        <v>0</v>
      </c>
      <c r="AD123">
        <v>0</v>
      </c>
      <c r="AE123">
        <v>31.49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0.04</v>
      </c>
      <c r="AU123" t="s">
        <v>3</v>
      </c>
      <c r="AV123">
        <v>0</v>
      </c>
      <c r="AW123">
        <v>2</v>
      </c>
      <c r="AX123">
        <v>1473082302</v>
      </c>
      <c r="AY123">
        <v>1</v>
      </c>
      <c r="AZ123">
        <v>0</v>
      </c>
      <c r="BA123">
        <v>208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ROUND(Y123*Source!I573,9)</f>
        <v>35.200000000000003</v>
      </c>
      <c r="CY123">
        <f>AA123</f>
        <v>31.49</v>
      </c>
      <c r="CZ123">
        <f>AE123</f>
        <v>31.49</v>
      </c>
      <c r="DA123">
        <f>AI123</f>
        <v>1</v>
      </c>
      <c r="DB123">
        <f>ROUND(ROUND(AT123*CZ123,2),6)</f>
        <v>1.26</v>
      </c>
      <c r="DC123">
        <f>ROUND(ROUND(AT123*AG123,2),6)</f>
        <v>0</v>
      </c>
      <c r="DD123" t="s">
        <v>3</v>
      </c>
      <c r="DE123" t="s">
        <v>3</v>
      </c>
      <c r="DF123">
        <f t="shared" si="22"/>
        <v>1108.45</v>
      </c>
      <c r="DG123">
        <f t="shared" si="23"/>
        <v>0</v>
      </c>
      <c r="DH123">
        <f t="shared" si="24"/>
        <v>0</v>
      </c>
      <c r="DI123">
        <f t="shared" si="25"/>
        <v>0</v>
      </c>
      <c r="DJ123">
        <f>DF123</f>
        <v>1108.45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ROW(Source!A574)</f>
        <v>574</v>
      </c>
      <c r="B124">
        <v>1473080740</v>
      </c>
      <c r="C124">
        <v>1473082303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391</v>
      </c>
      <c r="J124" t="s">
        <v>3</v>
      </c>
      <c r="K124" t="s">
        <v>392</v>
      </c>
      <c r="L124">
        <v>1191</v>
      </c>
      <c r="N124">
        <v>1013</v>
      </c>
      <c r="O124" t="s">
        <v>393</v>
      </c>
      <c r="P124" t="s">
        <v>393</v>
      </c>
      <c r="Q124">
        <v>1</v>
      </c>
      <c r="W124">
        <v>0</v>
      </c>
      <c r="X124">
        <v>476480486</v>
      </c>
      <c r="Y124">
        <f>(AT124*3)</f>
        <v>1.59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0.53</v>
      </c>
      <c r="AU124" t="s">
        <v>163</v>
      </c>
      <c r="AV124">
        <v>1</v>
      </c>
      <c r="AW124">
        <v>2</v>
      </c>
      <c r="AX124">
        <v>1473082306</v>
      </c>
      <c r="AY124">
        <v>1</v>
      </c>
      <c r="AZ124">
        <v>6144</v>
      </c>
      <c r="BA124">
        <v>209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U124">
        <f>ROUND(AT124*Source!I574*AH124*AL124,2)</f>
        <v>0</v>
      </c>
      <c r="CV124">
        <f>ROUND(Y124*Source!I574,9)</f>
        <v>1.59</v>
      </c>
      <c r="CW124">
        <v>0</v>
      </c>
      <c r="CX124">
        <f>ROUND(Y124*Source!I574,9)</f>
        <v>1.59</v>
      </c>
      <c r="CY124">
        <f>AD124</f>
        <v>0</v>
      </c>
      <c r="CZ124">
        <f>AH124</f>
        <v>0</v>
      </c>
      <c r="DA124">
        <f>AL124</f>
        <v>1</v>
      </c>
      <c r="DB124">
        <f>ROUND((ROUND(AT124*CZ124,2)*3),6)</f>
        <v>0</v>
      </c>
      <c r="DC124">
        <f>ROUND((ROUND(AT124*AG124,2)*3),6)</f>
        <v>0</v>
      </c>
      <c r="DD124" t="s">
        <v>3</v>
      </c>
      <c r="DE124" t="s">
        <v>3</v>
      </c>
      <c r="DF124">
        <f t="shared" si="22"/>
        <v>0</v>
      </c>
      <c r="DG124">
        <f t="shared" si="23"/>
        <v>0</v>
      </c>
      <c r="DH124">
        <f t="shared" si="24"/>
        <v>0</v>
      </c>
      <c r="DI124">
        <f t="shared" si="25"/>
        <v>0</v>
      </c>
      <c r="DJ124">
        <f>DI124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ROW(Source!A574)</f>
        <v>574</v>
      </c>
      <c r="B125">
        <v>1473080740</v>
      </c>
      <c r="C125">
        <v>1473082303</v>
      </c>
      <c r="D125">
        <v>1441834258</v>
      </c>
      <c r="E125">
        <v>1</v>
      </c>
      <c r="F125">
        <v>1</v>
      </c>
      <c r="G125">
        <v>15514512</v>
      </c>
      <c r="H125">
        <v>2</v>
      </c>
      <c r="I125" t="s">
        <v>394</v>
      </c>
      <c r="J125" t="s">
        <v>395</v>
      </c>
      <c r="K125" t="s">
        <v>396</v>
      </c>
      <c r="L125">
        <v>1368</v>
      </c>
      <c r="N125">
        <v>1011</v>
      </c>
      <c r="O125" t="s">
        <v>397</v>
      </c>
      <c r="P125" t="s">
        <v>397</v>
      </c>
      <c r="Q125">
        <v>1</v>
      </c>
      <c r="W125">
        <v>0</v>
      </c>
      <c r="X125">
        <v>1077756263</v>
      </c>
      <c r="Y125">
        <f>(AT125*3)</f>
        <v>0.09</v>
      </c>
      <c r="AA125">
        <v>0</v>
      </c>
      <c r="AB125">
        <v>1303.01</v>
      </c>
      <c r="AC125">
        <v>826.2</v>
      </c>
      <c r="AD125">
        <v>0</v>
      </c>
      <c r="AE125">
        <v>0</v>
      </c>
      <c r="AF125">
        <v>1303.01</v>
      </c>
      <c r="AG125">
        <v>826.2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0.03</v>
      </c>
      <c r="AU125" t="s">
        <v>163</v>
      </c>
      <c r="AV125">
        <v>0</v>
      </c>
      <c r="AW125">
        <v>2</v>
      </c>
      <c r="AX125">
        <v>1473082307</v>
      </c>
      <c r="AY125">
        <v>1</v>
      </c>
      <c r="AZ125">
        <v>6144</v>
      </c>
      <c r="BA125">
        <v>210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f>ROUND(Y125*Source!I574*DO125,9)</f>
        <v>0</v>
      </c>
      <c r="CX125">
        <f>ROUND(Y125*Source!I574,9)</f>
        <v>0.09</v>
      </c>
      <c r="CY125">
        <f>AB125</f>
        <v>1303.01</v>
      </c>
      <c r="CZ125">
        <f>AF125</f>
        <v>1303.01</v>
      </c>
      <c r="DA125">
        <f>AJ125</f>
        <v>1</v>
      </c>
      <c r="DB125">
        <f>ROUND((ROUND(AT125*CZ125,2)*3),6)</f>
        <v>117.27</v>
      </c>
      <c r="DC125">
        <f>ROUND((ROUND(AT125*AG125,2)*3),6)</f>
        <v>74.37</v>
      </c>
      <c r="DD125" t="s">
        <v>3</v>
      </c>
      <c r="DE125" t="s">
        <v>3</v>
      </c>
      <c r="DF125">
        <f t="shared" si="22"/>
        <v>0</v>
      </c>
      <c r="DG125">
        <f t="shared" si="23"/>
        <v>117.27</v>
      </c>
      <c r="DH125">
        <f t="shared" si="24"/>
        <v>74.36</v>
      </c>
      <c r="DI125">
        <f t="shared" si="25"/>
        <v>0</v>
      </c>
      <c r="DJ125">
        <f>DG125</f>
        <v>117.27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ROW(Source!A575)</f>
        <v>575</v>
      </c>
      <c r="B126">
        <v>1473080740</v>
      </c>
      <c r="C126">
        <v>1473082308</v>
      </c>
      <c r="D126">
        <v>1441819193</v>
      </c>
      <c r="E126">
        <v>15514512</v>
      </c>
      <c r="F126">
        <v>1</v>
      </c>
      <c r="G126">
        <v>15514512</v>
      </c>
      <c r="H126">
        <v>1</v>
      </c>
      <c r="I126" t="s">
        <v>391</v>
      </c>
      <c r="J126" t="s">
        <v>3</v>
      </c>
      <c r="K126" t="s">
        <v>392</v>
      </c>
      <c r="L126">
        <v>1191</v>
      </c>
      <c r="N126">
        <v>1013</v>
      </c>
      <c r="O126" t="s">
        <v>393</v>
      </c>
      <c r="P126" t="s">
        <v>393</v>
      </c>
      <c r="Q126">
        <v>1</v>
      </c>
      <c r="W126">
        <v>0</v>
      </c>
      <c r="X126">
        <v>476480486</v>
      </c>
      <c r="Y126">
        <f t="shared" ref="Y126:Y147" si="26">AT126</f>
        <v>1.82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1.82</v>
      </c>
      <c r="AU126" t="s">
        <v>3</v>
      </c>
      <c r="AV126">
        <v>1</v>
      </c>
      <c r="AW126">
        <v>2</v>
      </c>
      <c r="AX126">
        <v>1473082314</v>
      </c>
      <c r="AY126">
        <v>1</v>
      </c>
      <c r="AZ126">
        <v>0</v>
      </c>
      <c r="BA126">
        <v>211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U126">
        <f>ROUND(AT126*Source!I575*AH126*AL126,2)</f>
        <v>0</v>
      </c>
      <c r="CV126">
        <f>ROUND(Y126*Source!I575,9)</f>
        <v>1.82</v>
      </c>
      <c r="CW126">
        <v>0</v>
      </c>
      <c r="CX126">
        <f>ROUND(Y126*Source!I575,9)</f>
        <v>1.82</v>
      </c>
      <c r="CY126">
        <f>AD126</f>
        <v>0</v>
      </c>
      <c r="CZ126">
        <f>AH126</f>
        <v>0</v>
      </c>
      <c r="DA126">
        <f>AL126</f>
        <v>1</v>
      </c>
      <c r="DB126">
        <f t="shared" ref="DB126:DB147" si="27">ROUND(ROUND(AT126*CZ126,2),6)</f>
        <v>0</v>
      </c>
      <c r="DC126">
        <f t="shared" ref="DC126:DC147" si="28">ROUND(ROUND(AT126*AG126,2),6)</f>
        <v>0</v>
      </c>
      <c r="DD126" t="s">
        <v>3</v>
      </c>
      <c r="DE126" t="s">
        <v>3</v>
      </c>
      <c r="DF126">
        <f t="shared" si="22"/>
        <v>0</v>
      </c>
      <c r="DG126">
        <f t="shared" si="23"/>
        <v>0</v>
      </c>
      <c r="DH126">
        <f t="shared" si="24"/>
        <v>0</v>
      </c>
      <c r="DI126">
        <f t="shared" si="25"/>
        <v>0</v>
      </c>
      <c r="DJ126">
        <f>DI126</f>
        <v>0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ROW(Source!A575)</f>
        <v>575</v>
      </c>
      <c r="B127">
        <v>1473080740</v>
      </c>
      <c r="C127">
        <v>1473082308</v>
      </c>
      <c r="D127">
        <v>1441834258</v>
      </c>
      <c r="E127">
        <v>1</v>
      </c>
      <c r="F127">
        <v>1</v>
      </c>
      <c r="G127">
        <v>15514512</v>
      </c>
      <c r="H127">
        <v>2</v>
      </c>
      <c r="I127" t="s">
        <v>394</v>
      </c>
      <c r="J127" t="s">
        <v>395</v>
      </c>
      <c r="K127" t="s">
        <v>396</v>
      </c>
      <c r="L127">
        <v>1368</v>
      </c>
      <c r="N127">
        <v>1011</v>
      </c>
      <c r="O127" t="s">
        <v>397</v>
      </c>
      <c r="P127" t="s">
        <v>397</v>
      </c>
      <c r="Q127">
        <v>1</v>
      </c>
      <c r="W127">
        <v>0</v>
      </c>
      <c r="X127">
        <v>1077756263</v>
      </c>
      <c r="Y127">
        <f t="shared" si="26"/>
        <v>0.1</v>
      </c>
      <c r="AA127">
        <v>0</v>
      </c>
      <c r="AB127">
        <v>1303.01</v>
      </c>
      <c r="AC127">
        <v>826.2</v>
      </c>
      <c r="AD127">
        <v>0</v>
      </c>
      <c r="AE127">
        <v>0</v>
      </c>
      <c r="AF127">
        <v>1303.01</v>
      </c>
      <c r="AG127">
        <v>826.2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0.1</v>
      </c>
      <c r="AU127" t="s">
        <v>3</v>
      </c>
      <c r="AV127">
        <v>0</v>
      </c>
      <c r="AW127">
        <v>2</v>
      </c>
      <c r="AX127">
        <v>1473082315</v>
      </c>
      <c r="AY127">
        <v>1</v>
      </c>
      <c r="AZ127">
        <v>0</v>
      </c>
      <c r="BA127">
        <v>212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f>ROUND(Y127*Source!I575*DO127,9)</f>
        <v>0</v>
      </c>
      <c r="CX127">
        <f>ROUND(Y127*Source!I575,9)</f>
        <v>0.1</v>
      </c>
      <c r="CY127">
        <f>AB127</f>
        <v>1303.01</v>
      </c>
      <c r="CZ127">
        <f>AF127</f>
        <v>1303.01</v>
      </c>
      <c r="DA127">
        <f>AJ127</f>
        <v>1</v>
      </c>
      <c r="DB127">
        <f t="shared" si="27"/>
        <v>130.30000000000001</v>
      </c>
      <c r="DC127">
        <f t="shared" si="28"/>
        <v>82.62</v>
      </c>
      <c r="DD127" t="s">
        <v>3</v>
      </c>
      <c r="DE127" t="s">
        <v>3</v>
      </c>
      <c r="DF127">
        <f t="shared" si="22"/>
        <v>0</v>
      </c>
      <c r="DG127">
        <f t="shared" si="23"/>
        <v>130.30000000000001</v>
      </c>
      <c r="DH127">
        <f t="shared" si="24"/>
        <v>82.62</v>
      </c>
      <c r="DI127">
        <f t="shared" si="25"/>
        <v>0</v>
      </c>
      <c r="DJ127">
        <f>DG127</f>
        <v>130.30000000000001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ROW(Source!A575)</f>
        <v>575</v>
      </c>
      <c r="B128">
        <v>1473080740</v>
      </c>
      <c r="C128">
        <v>1473082308</v>
      </c>
      <c r="D128">
        <v>1441836187</v>
      </c>
      <c r="E128">
        <v>1</v>
      </c>
      <c r="F128">
        <v>1</v>
      </c>
      <c r="G128">
        <v>15514512</v>
      </c>
      <c r="H128">
        <v>3</v>
      </c>
      <c r="I128" t="s">
        <v>456</v>
      </c>
      <c r="J128" t="s">
        <v>457</v>
      </c>
      <c r="K128" t="s">
        <v>458</v>
      </c>
      <c r="L128">
        <v>1346</v>
      </c>
      <c r="N128">
        <v>1009</v>
      </c>
      <c r="O128" t="s">
        <v>401</v>
      </c>
      <c r="P128" t="s">
        <v>401</v>
      </c>
      <c r="Q128">
        <v>1</v>
      </c>
      <c r="W128">
        <v>0</v>
      </c>
      <c r="X128">
        <v>-1965557150</v>
      </c>
      <c r="Y128">
        <f t="shared" si="26"/>
        <v>4.0000000000000001E-3</v>
      </c>
      <c r="AA128">
        <v>424.66</v>
      </c>
      <c r="AB128">
        <v>0</v>
      </c>
      <c r="AC128">
        <v>0</v>
      </c>
      <c r="AD128">
        <v>0</v>
      </c>
      <c r="AE128">
        <v>424.66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4.0000000000000001E-3</v>
      </c>
      <c r="AU128" t="s">
        <v>3</v>
      </c>
      <c r="AV128">
        <v>0</v>
      </c>
      <c r="AW128">
        <v>2</v>
      </c>
      <c r="AX128">
        <v>1473082316</v>
      </c>
      <c r="AY128">
        <v>1</v>
      </c>
      <c r="AZ128">
        <v>0</v>
      </c>
      <c r="BA128">
        <v>213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ROUND(Y128*Source!I575,9)</f>
        <v>4.0000000000000001E-3</v>
      </c>
      <c r="CY128">
        <f>AA128</f>
        <v>424.66</v>
      </c>
      <c r="CZ128">
        <f>AE128</f>
        <v>424.66</v>
      </c>
      <c r="DA128">
        <f>AI128</f>
        <v>1</v>
      </c>
      <c r="DB128">
        <f t="shared" si="27"/>
        <v>1.7</v>
      </c>
      <c r="DC128">
        <f t="shared" si="28"/>
        <v>0</v>
      </c>
      <c r="DD128" t="s">
        <v>3</v>
      </c>
      <c r="DE128" t="s">
        <v>3</v>
      </c>
      <c r="DF128">
        <f t="shared" si="22"/>
        <v>1.7</v>
      </c>
      <c r="DG128">
        <f t="shared" si="23"/>
        <v>0</v>
      </c>
      <c r="DH128">
        <f t="shared" si="24"/>
        <v>0</v>
      </c>
      <c r="DI128">
        <f t="shared" si="25"/>
        <v>0</v>
      </c>
      <c r="DJ128">
        <f>DF128</f>
        <v>1.7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ROW(Source!A575)</f>
        <v>575</v>
      </c>
      <c r="B129">
        <v>1473080740</v>
      </c>
      <c r="C129">
        <v>1473082308</v>
      </c>
      <c r="D129">
        <v>1441836125</v>
      </c>
      <c r="E129">
        <v>1</v>
      </c>
      <c r="F129">
        <v>1</v>
      </c>
      <c r="G129">
        <v>15514512</v>
      </c>
      <c r="H129">
        <v>3</v>
      </c>
      <c r="I129" t="s">
        <v>459</v>
      </c>
      <c r="J129" t="s">
        <v>460</v>
      </c>
      <c r="K129" t="s">
        <v>461</v>
      </c>
      <c r="L129">
        <v>1346</v>
      </c>
      <c r="N129">
        <v>1009</v>
      </c>
      <c r="O129" t="s">
        <v>401</v>
      </c>
      <c r="P129" t="s">
        <v>401</v>
      </c>
      <c r="Q129">
        <v>1</v>
      </c>
      <c r="W129">
        <v>0</v>
      </c>
      <c r="X129">
        <v>-2052091782</v>
      </c>
      <c r="Y129">
        <f t="shared" si="26"/>
        <v>2E-3</v>
      </c>
      <c r="AA129">
        <v>222.29</v>
      </c>
      <c r="AB129">
        <v>0</v>
      </c>
      <c r="AC129">
        <v>0</v>
      </c>
      <c r="AD129">
        <v>0</v>
      </c>
      <c r="AE129">
        <v>222.29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2E-3</v>
      </c>
      <c r="AU129" t="s">
        <v>3</v>
      </c>
      <c r="AV129">
        <v>0</v>
      </c>
      <c r="AW129">
        <v>2</v>
      </c>
      <c r="AX129">
        <v>1473082317</v>
      </c>
      <c r="AY129">
        <v>1</v>
      </c>
      <c r="AZ129">
        <v>0</v>
      </c>
      <c r="BA129">
        <v>214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v>0</v>
      </c>
      <c r="CX129">
        <f>ROUND(Y129*Source!I575,9)</f>
        <v>2E-3</v>
      </c>
      <c r="CY129">
        <f>AA129</f>
        <v>222.29</v>
      </c>
      <c r="CZ129">
        <f>AE129</f>
        <v>222.29</v>
      </c>
      <c r="DA129">
        <f>AI129</f>
        <v>1</v>
      </c>
      <c r="DB129">
        <f t="shared" si="27"/>
        <v>0.44</v>
      </c>
      <c r="DC129">
        <f t="shared" si="28"/>
        <v>0</v>
      </c>
      <c r="DD129" t="s">
        <v>3</v>
      </c>
      <c r="DE129" t="s">
        <v>3</v>
      </c>
      <c r="DF129">
        <f t="shared" ref="DF129:DF147" si="29">ROUND(ROUND(AE129,2)*CX129,2)</f>
        <v>0.44</v>
      </c>
      <c r="DG129">
        <f t="shared" ref="DG129:DG147" si="30">ROUND(ROUND(AF129,2)*CX129,2)</f>
        <v>0</v>
      </c>
      <c r="DH129">
        <f t="shared" ref="DH129:DH147" si="31">ROUND(ROUND(AG129,2)*CX129,2)</f>
        <v>0</v>
      </c>
      <c r="DI129">
        <f t="shared" ref="DI129:DI147" si="32">ROUND(ROUND(AH129,2)*CX129,2)</f>
        <v>0</v>
      </c>
      <c r="DJ129">
        <f>DF129</f>
        <v>0.44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ROW(Source!A575)</f>
        <v>575</v>
      </c>
      <c r="B130">
        <v>1473080740</v>
      </c>
      <c r="C130">
        <v>1473082308</v>
      </c>
      <c r="D130">
        <v>1441836230</v>
      </c>
      <c r="E130">
        <v>1</v>
      </c>
      <c r="F130">
        <v>1</v>
      </c>
      <c r="G130">
        <v>15514512</v>
      </c>
      <c r="H130">
        <v>3</v>
      </c>
      <c r="I130" t="s">
        <v>444</v>
      </c>
      <c r="J130" t="s">
        <v>445</v>
      </c>
      <c r="K130" t="s">
        <v>446</v>
      </c>
      <c r="L130">
        <v>1327</v>
      </c>
      <c r="N130">
        <v>1005</v>
      </c>
      <c r="O130" t="s">
        <v>430</v>
      </c>
      <c r="P130" t="s">
        <v>430</v>
      </c>
      <c r="Q130">
        <v>1</v>
      </c>
      <c r="W130">
        <v>0</v>
      </c>
      <c r="X130">
        <v>-843547561</v>
      </c>
      <c r="Y130">
        <f t="shared" si="26"/>
        <v>0.02</v>
      </c>
      <c r="AA130">
        <v>46</v>
      </c>
      <c r="AB130">
        <v>0</v>
      </c>
      <c r="AC130">
        <v>0</v>
      </c>
      <c r="AD130">
        <v>0</v>
      </c>
      <c r="AE130">
        <v>46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0.02</v>
      </c>
      <c r="AU130" t="s">
        <v>3</v>
      </c>
      <c r="AV130">
        <v>0</v>
      </c>
      <c r="AW130">
        <v>2</v>
      </c>
      <c r="AX130">
        <v>1473082318</v>
      </c>
      <c r="AY130">
        <v>1</v>
      </c>
      <c r="AZ130">
        <v>0</v>
      </c>
      <c r="BA130">
        <v>215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ROUND(Y130*Source!I575,9)</f>
        <v>0.02</v>
      </c>
      <c r="CY130">
        <f>AA130</f>
        <v>46</v>
      </c>
      <c r="CZ130">
        <f>AE130</f>
        <v>46</v>
      </c>
      <c r="DA130">
        <f>AI130</f>
        <v>1</v>
      </c>
      <c r="DB130">
        <f t="shared" si="27"/>
        <v>0.92</v>
      </c>
      <c r="DC130">
        <f t="shared" si="28"/>
        <v>0</v>
      </c>
      <c r="DD130" t="s">
        <v>3</v>
      </c>
      <c r="DE130" t="s">
        <v>3</v>
      </c>
      <c r="DF130">
        <f t="shared" si="29"/>
        <v>0.92</v>
      </c>
      <c r="DG130">
        <f t="shared" si="30"/>
        <v>0</v>
      </c>
      <c r="DH130">
        <f t="shared" si="31"/>
        <v>0</v>
      </c>
      <c r="DI130">
        <f t="shared" si="32"/>
        <v>0</v>
      </c>
      <c r="DJ130">
        <f>DF130</f>
        <v>0.92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ROW(Source!A615)</f>
        <v>615</v>
      </c>
      <c r="B131">
        <v>1473080740</v>
      </c>
      <c r="C131">
        <v>1473082340</v>
      </c>
      <c r="D131">
        <v>1441819193</v>
      </c>
      <c r="E131">
        <v>15514512</v>
      </c>
      <c r="F131">
        <v>1</v>
      </c>
      <c r="G131">
        <v>15514512</v>
      </c>
      <c r="H131">
        <v>1</v>
      </c>
      <c r="I131" t="s">
        <v>391</v>
      </c>
      <c r="J131" t="s">
        <v>3</v>
      </c>
      <c r="K131" t="s">
        <v>392</v>
      </c>
      <c r="L131">
        <v>1191</v>
      </c>
      <c r="N131">
        <v>1013</v>
      </c>
      <c r="O131" t="s">
        <v>393</v>
      </c>
      <c r="P131" t="s">
        <v>393</v>
      </c>
      <c r="Q131">
        <v>1</v>
      </c>
      <c r="W131">
        <v>0</v>
      </c>
      <c r="X131">
        <v>476480486</v>
      </c>
      <c r="Y131">
        <f t="shared" si="26"/>
        <v>0.96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0.96</v>
      </c>
      <c r="AU131" t="s">
        <v>3</v>
      </c>
      <c r="AV131">
        <v>1</v>
      </c>
      <c r="AW131">
        <v>2</v>
      </c>
      <c r="AX131">
        <v>1473082345</v>
      </c>
      <c r="AY131">
        <v>1</v>
      </c>
      <c r="AZ131">
        <v>0</v>
      </c>
      <c r="BA131">
        <v>224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U131">
        <f>ROUND(AT131*Source!I615*AH131*AL131,2)</f>
        <v>0</v>
      </c>
      <c r="CV131">
        <f>ROUND(Y131*Source!I615,9)</f>
        <v>0.96</v>
      </c>
      <c r="CW131">
        <v>0</v>
      </c>
      <c r="CX131">
        <f>ROUND(Y131*Source!I615,9)</f>
        <v>0.96</v>
      </c>
      <c r="CY131">
        <f>AD131</f>
        <v>0</v>
      </c>
      <c r="CZ131">
        <f>AH131</f>
        <v>0</v>
      </c>
      <c r="DA131">
        <f>AL131</f>
        <v>1</v>
      </c>
      <c r="DB131">
        <f t="shared" si="27"/>
        <v>0</v>
      </c>
      <c r="DC131">
        <f t="shared" si="28"/>
        <v>0</v>
      </c>
      <c r="DD131" t="s">
        <v>3</v>
      </c>
      <c r="DE131" t="s">
        <v>3</v>
      </c>
      <c r="DF131">
        <f t="shared" si="29"/>
        <v>0</v>
      </c>
      <c r="DG131">
        <f t="shared" si="30"/>
        <v>0</v>
      </c>
      <c r="DH131">
        <f t="shared" si="31"/>
        <v>0</v>
      </c>
      <c r="DI131">
        <f t="shared" si="32"/>
        <v>0</v>
      </c>
      <c r="DJ131">
        <f>DI131</f>
        <v>0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ROW(Source!A615)</f>
        <v>615</v>
      </c>
      <c r="B132">
        <v>1473080740</v>
      </c>
      <c r="C132">
        <v>1473082340</v>
      </c>
      <c r="D132">
        <v>1441836235</v>
      </c>
      <c r="E132">
        <v>1</v>
      </c>
      <c r="F132">
        <v>1</v>
      </c>
      <c r="G132">
        <v>15514512</v>
      </c>
      <c r="H132">
        <v>3</v>
      </c>
      <c r="I132" t="s">
        <v>398</v>
      </c>
      <c r="J132" t="s">
        <v>399</v>
      </c>
      <c r="K132" t="s">
        <v>400</v>
      </c>
      <c r="L132">
        <v>1346</v>
      </c>
      <c r="N132">
        <v>1009</v>
      </c>
      <c r="O132" t="s">
        <v>401</v>
      </c>
      <c r="P132" t="s">
        <v>401</v>
      </c>
      <c r="Q132">
        <v>1</v>
      </c>
      <c r="W132">
        <v>0</v>
      </c>
      <c r="X132">
        <v>-1595335418</v>
      </c>
      <c r="Y132">
        <f t="shared" si="26"/>
        <v>0.05</v>
      </c>
      <c r="AA132">
        <v>31.49</v>
      </c>
      <c r="AB132">
        <v>0</v>
      </c>
      <c r="AC132">
        <v>0</v>
      </c>
      <c r="AD132">
        <v>0</v>
      </c>
      <c r="AE132">
        <v>31.49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0.05</v>
      </c>
      <c r="AU132" t="s">
        <v>3</v>
      </c>
      <c r="AV132">
        <v>0</v>
      </c>
      <c r="AW132">
        <v>2</v>
      </c>
      <c r="AX132">
        <v>1473082346</v>
      </c>
      <c r="AY132">
        <v>1</v>
      </c>
      <c r="AZ132">
        <v>0</v>
      </c>
      <c r="BA132">
        <v>225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ROUND(Y132*Source!I615,9)</f>
        <v>0.05</v>
      </c>
      <c r="CY132">
        <f>AA132</f>
        <v>31.49</v>
      </c>
      <c r="CZ132">
        <f>AE132</f>
        <v>31.49</v>
      </c>
      <c r="DA132">
        <f>AI132</f>
        <v>1</v>
      </c>
      <c r="DB132">
        <f t="shared" si="27"/>
        <v>1.57</v>
      </c>
      <c r="DC132">
        <f t="shared" si="28"/>
        <v>0</v>
      </c>
      <c r="DD132" t="s">
        <v>3</v>
      </c>
      <c r="DE132" t="s">
        <v>3</v>
      </c>
      <c r="DF132">
        <f t="shared" si="29"/>
        <v>1.57</v>
      </c>
      <c r="DG132">
        <f t="shared" si="30"/>
        <v>0</v>
      </c>
      <c r="DH132">
        <f t="shared" si="31"/>
        <v>0</v>
      </c>
      <c r="DI132">
        <f t="shared" si="32"/>
        <v>0</v>
      </c>
      <c r="DJ132">
        <f>DF132</f>
        <v>1.57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ROW(Source!A615)</f>
        <v>615</v>
      </c>
      <c r="B133">
        <v>1473080740</v>
      </c>
      <c r="C133">
        <v>1473082340</v>
      </c>
      <c r="D133">
        <v>1441834628</v>
      </c>
      <c r="E133">
        <v>1</v>
      </c>
      <c r="F133">
        <v>1</v>
      </c>
      <c r="G133">
        <v>15514512</v>
      </c>
      <c r="H133">
        <v>3</v>
      </c>
      <c r="I133" t="s">
        <v>447</v>
      </c>
      <c r="J133" t="s">
        <v>448</v>
      </c>
      <c r="K133" t="s">
        <v>449</v>
      </c>
      <c r="L133">
        <v>1348</v>
      </c>
      <c r="N133">
        <v>1009</v>
      </c>
      <c r="O133" t="s">
        <v>412</v>
      </c>
      <c r="P133" t="s">
        <v>412</v>
      </c>
      <c r="Q133">
        <v>1000</v>
      </c>
      <c r="W133">
        <v>0</v>
      </c>
      <c r="X133">
        <v>779500846</v>
      </c>
      <c r="Y133">
        <f t="shared" si="26"/>
        <v>3.0000000000000001E-5</v>
      </c>
      <c r="AA133">
        <v>73951.73</v>
      </c>
      <c r="AB133">
        <v>0</v>
      </c>
      <c r="AC133">
        <v>0</v>
      </c>
      <c r="AD133">
        <v>0</v>
      </c>
      <c r="AE133">
        <v>73951.73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3.0000000000000001E-5</v>
      </c>
      <c r="AU133" t="s">
        <v>3</v>
      </c>
      <c r="AV133">
        <v>0</v>
      </c>
      <c r="AW133">
        <v>2</v>
      </c>
      <c r="AX133">
        <v>1473082347</v>
      </c>
      <c r="AY133">
        <v>1</v>
      </c>
      <c r="AZ133">
        <v>0</v>
      </c>
      <c r="BA133">
        <v>226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ROUND(Y133*Source!I615,9)</f>
        <v>3.0000000000000001E-5</v>
      </c>
      <c r="CY133">
        <f>AA133</f>
        <v>73951.73</v>
      </c>
      <c r="CZ133">
        <f>AE133</f>
        <v>73951.73</v>
      </c>
      <c r="DA133">
        <f>AI133</f>
        <v>1</v>
      </c>
      <c r="DB133">
        <f t="shared" si="27"/>
        <v>2.2200000000000002</v>
      </c>
      <c r="DC133">
        <f t="shared" si="28"/>
        <v>0</v>
      </c>
      <c r="DD133" t="s">
        <v>3</v>
      </c>
      <c r="DE133" t="s">
        <v>3</v>
      </c>
      <c r="DF133">
        <f t="shared" si="29"/>
        <v>2.2200000000000002</v>
      </c>
      <c r="DG133">
        <f t="shared" si="30"/>
        <v>0</v>
      </c>
      <c r="DH133">
        <f t="shared" si="31"/>
        <v>0</v>
      </c>
      <c r="DI133">
        <f t="shared" si="32"/>
        <v>0</v>
      </c>
      <c r="DJ133">
        <f>DF133</f>
        <v>2.2200000000000002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ROW(Source!A615)</f>
        <v>615</v>
      </c>
      <c r="B134">
        <v>1473080740</v>
      </c>
      <c r="C134">
        <v>1473082340</v>
      </c>
      <c r="D134">
        <v>1441834669</v>
      </c>
      <c r="E134">
        <v>1</v>
      </c>
      <c r="F134">
        <v>1</v>
      </c>
      <c r="G134">
        <v>15514512</v>
      </c>
      <c r="H134">
        <v>3</v>
      </c>
      <c r="I134" t="s">
        <v>462</v>
      </c>
      <c r="J134" t="s">
        <v>463</v>
      </c>
      <c r="K134" t="s">
        <v>464</v>
      </c>
      <c r="L134">
        <v>1346</v>
      </c>
      <c r="N134">
        <v>1009</v>
      </c>
      <c r="O134" t="s">
        <v>401</v>
      </c>
      <c r="P134" t="s">
        <v>401</v>
      </c>
      <c r="Q134">
        <v>1</v>
      </c>
      <c r="W134">
        <v>0</v>
      </c>
      <c r="X134">
        <v>-1813065233</v>
      </c>
      <c r="Y134">
        <f t="shared" si="26"/>
        <v>0.01</v>
      </c>
      <c r="AA134">
        <v>222.28</v>
      </c>
      <c r="AB134">
        <v>0</v>
      </c>
      <c r="AC134">
        <v>0</v>
      </c>
      <c r="AD134">
        <v>0</v>
      </c>
      <c r="AE134">
        <v>222.28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0.01</v>
      </c>
      <c r="AU134" t="s">
        <v>3</v>
      </c>
      <c r="AV134">
        <v>0</v>
      </c>
      <c r="AW134">
        <v>2</v>
      </c>
      <c r="AX134">
        <v>1473082348</v>
      </c>
      <c r="AY134">
        <v>1</v>
      </c>
      <c r="AZ134">
        <v>0</v>
      </c>
      <c r="BA134">
        <v>227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ROUND(Y134*Source!I615,9)</f>
        <v>0.01</v>
      </c>
      <c r="CY134">
        <f>AA134</f>
        <v>222.28</v>
      </c>
      <c r="CZ134">
        <f>AE134</f>
        <v>222.28</v>
      </c>
      <c r="DA134">
        <f>AI134</f>
        <v>1</v>
      </c>
      <c r="DB134">
        <f t="shared" si="27"/>
        <v>2.2200000000000002</v>
      </c>
      <c r="DC134">
        <f t="shared" si="28"/>
        <v>0</v>
      </c>
      <c r="DD134" t="s">
        <v>3</v>
      </c>
      <c r="DE134" t="s">
        <v>3</v>
      </c>
      <c r="DF134">
        <f t="shared" si="29"/>
        <v>2.2200000000000002</v>
      </c>
      <c r="DG134">
        <f t="shared" si="30"/>
        <v>0</v>
      </c>
      <c r="DH134">
        <f t="shared" si="31"/>
        <v>0</v>
      </c>
      <c r="DI134">
        <f t="shared" si="32"/>
        <v>0</v>
      </c>
      <c r="DJ134">
        <f>DF134</f>
        <v>2.2200000000000002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ROW(Source!A616)</f>
        <v>616</v>
      </c>
      <c r="B135">
        <v>1473080740</v>
      </c>
      <c r="C135">
        <v>1473082349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391</v>
      </c>
      <c r="J135" t="s">
        <v>3</v>
      </c>
      <c r="K135" t="s">
        <v>392</v>
      </c>
      <c r="L135">
        <v>1191</v>
      </c>
      <c r="N135">
        <v>1013</v>
      </c>
      <c r="O135" t="s">
        <v>393</v>
      </c>
      <c r="P135" t="s">
        <v>393</v>
      </c>
      <c r="Q135">
        <v>1</v>
      </c>
      <c r="W135">
        <v>0</v>
      </c>
      <c r="X135">
        <v>476480486</v>
      </c>
      <c r="Y135">
        <f t="shared" si="26"/>
        <v>0.96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0.96</v>
      </c>
      <c r="AU135" t="s">
        <v>3</v>
      </c>
      <c r="AV135">
        <v>1</v>
      </c>
      <c r="AW135">
        <v>2</v>
      </c>
      <c r="AX135">
        <v>1473082354</v>
      </c>
      <c r="AY135">
        <v>1</v>
      </c>
      <c r="AZ135">
        <v>0</v>
      </c>
      <c r="BA135">
        <v>228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U135">
        <f>ROUND(AT135*Source!I616*AH135*AL135,2)</f>
        <v>0</v>
      </c>
      <c r="CV135">
        <f>ROUND(Y135*Source!I616,9)</f>
        <v>144</v>
      </c>
      <c r="CW135">
        <v>0</v>
      </c>
      <c r="CX135">
        <f>ROUND(Y135*Source!I616,9)</f>
        <v>144</v>
      </c>
      <c r="CY135">
        <f>AD135</f>
        <v>0</v>
      </c>
      <c r="CZ135">
        <f>AH135</f>
        <v>0</v>
      </c>
      <c r="DA135">
        <f>AL135</f>
        <v>1</v>
      </c>
      <c r="DB135">
        <f t="shared" si="27"/>
        <v>0</v>
      </c>
      <c r="DC135">
        <f t="shared" si="28"/>
        <v>0</v>
      </c>
      <c r="DD135" t="s">
        <v>3</v>
      </c>
      <c r="DE135" t="s">
        <v>3</v>
      </c>
      <c r="DF135">
        <f t="shared" si="29"/>
        <v>0</v>
      </c>
      <c r="DG135">
        <f t="shared" si="30"/>
        <v>0</v>
      </c>
      <c r="DH135">
        <f t="shared" si="31"/>
        <v>0</v>
      </c>
      <c r="DI135">
        <f t="shared" si="32"/>
        <v>0</v>
      </c>
      <c r="DJ135">
        <f>DI135</f>
        <v>0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ROW(Source!A616)</f>
        <v>616</v>
      </c>
      <c r="B136">
        <v>1473080740</v>
      </c>
      <c r="C136">
        <v>1473082349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398</v>
      </c>
      <c r="J136" t="s">
        <v>399</v>
      </c>
      <c r="K136" t="s">
        <v>400</v>
      </c>
      <c r="L136">
        <v>1346</v>
      </c>
      <c r="N136">
        <v>1009</v>
      </c>
      <c r="O136" t="s">
        <v>401</v>
      </c>
      <c r="P136" t="s">
        <v>401</v>
      </c>
      <c r="Q136">
        <v>1</v>
      </c>
      <c r="W136">
        <v>0</v>
      </c>
      <c r="X136">
        <v>-1595335418</v>
      </c>
      <c r="Y136">
        <f t="shared" si="26"/>
        <v>0.05</v>
      </c>
      <c r="AA136">
        <v>31.49</v>
      </c>
      <c r="AB136">
        <v>0</v>
      </c>
      <c r="AC136">
        <v>0</v>
      </c>
      <c r="AD136">
        <v>0</v>
      </c>
      <c r="AE136">
        <v>31.49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0.05</v>
      </c>
      <c r="AU136" t="s">
        <v>3</v>
      </c>
      <c r="AV136">
        <v>0</v>
      </c>
      <c r="AW136">
        <v>2</v>
      </c>
      <c r="AX136">
        <v>1473082355</v>
      </c>
      <c r="AY136">
        <v>1</v>
      </c>
      <c r="AZ136">
        <v>0</v>
      </c>
      <c r="BA136">
        <v>229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ROUND(Y136*Source!I616,9)</f>
        <v>7.5</v>
      </c>
      <c r="CY136">
        <f>AA136</f>
        <v>31.49</v>
      </c>
      <c r="CZ136">
        <f>AE136</f>
        <v>31.49</v>
      </c>
      <c r="DA136">
        <f>AI136</f>
        <v>1</v>
      </c>
      <c r="DB136">
        <f t="shared" si="27"/>
        <v>1.57</v>
      </c>
      <c r="DC136">
        <f t="shared" si="28"/>
        <v>0</v>
      </c>
      <c r="DD136" t="s">
        <v>3</v>
      </c>
      <c r="DE136" t="s">
        <v>3</v>
      </c>
      <c r="DF136">
        <f t="shared" si="29"/>
        <v>236.18</v>
      </c>
      <c r="DG136">
        <f t="shared" si="30"/>
        <v>0</v>
      </c>
      <c r="DH136">
        <f t="shared" si="31"/>
        <v>0</v>
      </c>
      <c r="DI136">
        <f t="shared" si="32"/>
        <v>0</v>
      </c>
      <c r="DJ136">
        <f>DF136</f>
        <v>236.18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ROW(Source!A616)</f>
        <v>616</v>
      </c>
      <c r="B137">
        <v>1473080740</v>
      </c>
      <c r="C137">
        <v>1473082349</v>
      </c>
      <c r="D137">
        <v>1441834628</v>
      </c>
      <c r="E137">
        <v>1</v>
      </c>
      <c r="F137">
        <v>1</v>
      </c>
      <c r="G137">
        <v>15514512</v>
      </c>
      <c r="H137">
        <v>3</v>
      </c>
      <c r="I137" t="s">
        <v>447</v>
      </c>
      <c r="J137" t="s">
        <v>448</v>
      </c>
      <c r="K137" t="s">
        <v>449</v>
      </c>
      <c r="L137">
        <v>1348</v>
      </c>
      <c r="N137">
        <v>1009</v>
      </c>
      <c r="O137" t="s">
        <v>412</v>
      </c>
      <c r="P137" t="s">
        <v>412</v>
      </c>
      <c r="Q137">
        <v>1000</v>
      </c>
      <c r="W137">
        <v>0</v>
      </c>
      <c r="X137">
        <v>779500846</v>
      </c>
      <c r="Y137">
        <f t="shared" si="26"/>
        <v>3.0000000000000001E-5</v>
      </c>
      <c r="AA137">
        <v>73951.73</v>
      </c>
      <c r="AB137">
        <v>0</v>
      </c>
      <c r="AC137">
        <v>0</v>
      </c>
      <c r="AD137">
        <v>0</v>
      </c>
      <c r="AE137">
        <v>73951.73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3.0000000000000001E-5</v>
      </c>
      <c r="AU137" t="s">
        <v>3</v>
      </c>
      <c r="AV137">
        <v>0</v>
      </c>
      <c r="AW137">
        <v>2</v>
      </c>
      <c r="AX137">
        <v>1473082356</v>
      </c>
      <c r="AY137">
        <v>1</v>
      </c>
      <c r="AZ137">
        <v>0</v>
      </c>
      <c r="BA137">
        <v>230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ROUND(Y137*Source!I616,9)</f>
        <v>4.4999999999999997E-3</v>
      </c>
      <c r="CY137">
        <f>AA137</f>
        <v>73951.73</v>
      </c>
      <c r="CZ137">
        <f>AE137</f>
        <v>73951.73</v>
      </c>
      <c r="DA137">
        <f>AI137</f>
        <v>1</v>
      </c>
      <c r="DB137">
        <f t="shared" si="27"/>
        <v>2.2200000000000002</v>
      </c>
      <c r="DC137">
        <f t="shared" si="28"/>
        <v>0</v>
      </c>
      <c r="DD137" t="s">
        <v>3</v>
      </c>
      <c r="DE137" t="s">
        <v>3</v>
      </c>
      <c r="DF137">
        <f t="shared" si="29"/>
        <v>332.78</v>
      </c>
      <c r="DG137">
        <f t="shared" si="30"/>
        <v>0</v>
      </c>
      <c r="DH137">
        <f t="shared" si="31"/>
        <v>0</v>
      </c>
      <c r="DI137">
        <f t="shared" si="32"/>
        <v>0</v>
      </c>
      <c r="DJ137">
        <f>DF137</f>
        <v>332.78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ROW(Source!A616)</f>
        <v>616</v>
      </c>
      <c r="B138">
        <v>1473080740</v>
      </c>
      <c r="C138">
        <v>1473082349</v>
      </c>
      <c r="D138">
        <v>1441834669</v>
      </c>
      <c r="E138">
        <v>1</v>
      </c>
      <c r="F138">
        <v>1</v>
      </c>
      <c r="G138">
        <v>15514512</v>
      </c>
      <c r="H138">
        <v>3</v>
      </c>
      <c r="I138" t="s">
        <v>462</v>
      </c>
      <c r="J138" t="s">
        <v>463</v>
      </c>
      <c r="K138" t="s">
        <v>464</v>
      </c>
      <c r="L138">
        <v>1346</v>
      </c>
      <c r="N138">
        <v>1009</v>
      </c>
      <c r="O138" t="s">
        <v>401</v>
      </c>
      <c r="P138" t="s">
        <v>401</v>
      </c>
      <c r="Q138">
        <v>1</v>
      </c>
      <c r="W138">
        <v>0</v>
      </c>
      <c r="X138">
        <v>-1813065233</v>
      </c>
      <c r="Y138">
        <f t="shared" si="26"/>
        <v>0.01</v>
      </c>
      <c r="AA138">
        <v>222.28</v>
      </c>
      <c r="AB138">
        <v>0</v>
      </c>
      <c r="AC138">
        <v>0</v>
      </c>
      <c r="AD138">
        <v>0</v>
      </c>
      <c r="AE138">
        <v>222.28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0.01</v>
      </c>
      <c r="AU138" t="s">
        <v>3</v>
      </c>
      <c r="AV138">
        <v>0</v>
      </c>
      <c r="AW138">
        <v>2</v>
      </c>
      <c r="AX138">
        <v>1473082357</v>
      </c>
      <c r="AY138">
        <v>1</v>
      </c>
      <c r="AZ138">
        <v>0</v>
      </c>
      <c r="BA138">
        <v>231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ROUND(Y138*Source!I616,9)</f>
        <v>1.5</v>
      </c>
      <c r="CY138">
        <f>AA138</f>
        <v>222.28</v>
      </c>
      <c r="CZ138">
        <f>AE138</f>
        <v>222.28</v>
      </c>
      <c r="DA138">
        <f>AI138</f>
        <v>1</v>
      </c>
      <c r="DB138">
        <f t="shared" si="27"/>
        <v>2.2200000000000002</v>
      </c>
      <c r="DC138">
        <f t="shared" si="28"/>
        <v>0</v>
      </c>
      <c r="DD138" t="s">
        <v>3</v>
      </c>
      <c r="DE138" t="s">
        <v>3</v>
      </c>
      <c r="DF138">
        <f t="shared" si="29"/>
        <v>333.42</v>
      </c>
      <c r="DG138">
        <f t="shared" si="30"/>
        <v>0</v>
      </c>
      <c r="DH138">
        <f t="shared" si="31"/>
        <v>0</v>
      </c>
      <c r="DI138">
        <f t="shared" si="32"/>
        <v>0</v>
      </c>
      <c r="DJ138">
        <f>DF138</f>
        <v>333.42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ROW(Source!A617)</f>
        <v>617</v>
      </c>
      <c r="B139">
        <v>1473080740</v>
      </c>
      <c r="C139">
        <v>1473082358</v>
      </c>
      <c r="D139">
        <v>1441819193</v>
      </c>
      <c r="E139">
        <v>15514512</v>
      </c>
      <c r="F139">
        <v>1</v>
      </c>
      <c r="G139">
        <v>15514512</v>
      </c>
      <c r="H139">
        <v>1</v>
      </c>
      <c r="I139" t="s">
        <v>391</v>
      </c>
      <c r="J139" t="s">
        <v>3</v>
      </c>
      <c r="K139" t="s">
        <v>392</v>
      </c>
      <c r="L139">
        <v>1191</v>
      </c>
      <c r="N139">
        <v>1013</v>
      </c>
      <c r="O139" t="s">
        <v>393</v>
      </c>
      <c r="P139" t="s">
        <v>393</v>
      </c>
      <c r="Q139">
        <v>1</v>
      </c>
      <c r="W139">
        <v>0</v>
      </c>
      <c r="X139">
        <v>476480486</v>
      </c>
      <c r="Y139">
        <f t="shared" si="26"/>
        <v>0.96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0.96</v>
      </c>
      <c r="AU139" t="s">
        <v>3</v>
      </c>
      <c r="AV139">
        <v>1</v>
      </c>
      <c r="AW139">
        <v>2</v>
      </c>
      <c r="AX139">
        <v>1473082363</v>
      </c>
      <c r="AY139">
        <v>1</v>
      </c>
      <c r="AZ139">
        <v>0</v>
      </c>
      <c r="BA139">
        <v>232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U139">
        <f>ROUND(AT139*Source!I617*AH139*AL139,2)</f>
        <v>0</v>
      </c>
      <c r="CV139">
        <f>ROUND(Y139*Source!I617,9)</f>
        <v>96</v>
      </c>
      <c r="CW139">
        <v>0</v>
      </c>
      <c r="CX139">
        <f>ROUND(Y139*Source!I617,9)</f>
        <v>96</v>
      </c>
      <c r="CY139">
        <f>AD139</f>
        <v>0</v>
      </c>
      <c r="CZ139">
        <f>AH139</f>
        <v>0</v>
      </c>
      <c r="DA139">
        <f>AL139</f>
        <v>1</v>
      </c>
      <c r="DB139">
        <f t="shared" si="27"/>
        <v>0</v>
      </c>
      <c r="DC139">
        <f t="shared" si="28"/>
        <v>0</v>
      </c>
      <c r="DD139" t="s">
        <v>3</v>
      </c>
      <c r="DE139" t="s">
        <v>3</v>
      </c>
      <c r="DF139">
        <f t="shared" si="29"/>
        <v>0</v>
      </c>
      <c r="DG139">
        <f t="shared" si="30"/>
        <v>0</v>
      </c>
      <c r="DH139">
        <f t="shared" si="31"/>
        <v>0</v>
      </c>
      <c r="DI139">
        <f t="shared" si="32"/>
        <v>0</v>
      </c>
      <c r="DJ139">
        <f>DI139</f>
        <v>0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ROW(Source!A617)</f>
        <v>617</v>
      </c>
      <c r="B140">
        <v>1473080740</v>
      </c>
      <c r="C140">
        <v>1473082358</v>
      </c>
      <c r="D140">
        <v>1441836235</v>
      </c>
      <c r="E140">
        <v>1</v>
      </c>
      <c r="F140">
        <v>1</v>
      </c>
      <c r="G140">
        <v>15514512</v>
      </c>
      <c r="H140">
        <v>3</v>
      </c>
      <c r="I140" t="s">
        <v>398</v>
      </c>
      <c r="J140" t="s">
        <v>399</v>
      </c>
      <c r="K140" t="s">
        <v>400</v>
      </c>
      <c r="L140">
        <v>1346</v>
      </c>
      <c r="N140">
        <v>1009</v>
      </c>
      <c r="O140" t="s">
        <v>401</v>
      </c>
      <c r="P140" t="s">
        <v>401</v>
      </c>
      <c r="Q140">
        <v>1</v>
      </c>
      <c r="W140">
        <v>0</v>
      </c>
      <c r="X140">
        <v>-1595335418</v>
      </c>
      <c r="Y140">
        <f t="shared" si="26"/>
        <v>0.05</v>
      </c>
      <c r="AA140">
        <v>31.49</v>
      </c>
      <c r="AB140">
        <v>0</v>
      </c>
      <c r="AC140">
        <v>0</v>
      </c>
      <c r="AD140">
        <v>0</v>
      </c>
      <c r="AE140">
        <v>31.49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0.05</v>
      </c>
      <c r="AU140" t="s">
        <v>3</v>
      </c>
      <c r="AV140">
        <v>0</v>
      </c>
      <c r="AW140">
        <v>2</v>
      </c>
      <c r="AX140">
        <v>1473082364</v>
      </c>
      <c r="AY140">
        <v>1</v>
      </c>
      <c r="AZ140">
        <v>0</v>
      </c>
      <c r="BA140">
        <v>233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ROUND(Y140*Source!I617,9)</f>
        <v>5</v>
      </c>
      <c r="CY140">
        <f>AA140</f>
        <v>31.49</v>
      </c>
      <c r="CZ140">
        <f>AE140</f>
        <v>31.49</v>
      </c>
      <c r="DA140">
        <f>AI140</f>
        <v>1</v>
      </c>
      <c r="DB140">
        <f t="shared" si="27"/>
        <v>1.57</v>
      </c>
      <c r="DC140">
        <f t="shared" si="28"/>
        <v>0</v>
      </c>
      <c r="DD140" t="s">
        <v>3</v>
      </c>
      <c r="DE140" t="s">
        <v>3</v>
      </c>
      <c r="DF140">
        <f t="shared" si="29"/>
        <v>157.44999999999999</v>
      </c>
      <c r="DG140">
        <f t="shared" si="30"/>
        <v>0</v>
      </c>
      <c r="DH140">
        <f t="shared" si="31"/>
        <v>0</v>
      </c>
      <c r="DI140">
        <f t="shared" si="32"/>
        <v>0</v>
      </c>
      <c r="DJ140">
        <f>DF140</f>
        <v>157.44999999999999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ROW(Source!A617)</f>
        <v>617</v>
      </c>
      <c r="B141">
        <v>1473080740</v>
      </c>
      <c r="C141">
        <v>1473082358</v>
      </c>
      <c r="D141">
        <v>1441834628</v>
      </c>
      <c r="E141">
        <v>1</v>
      </c>
      <c r="F141">
        <v>1</v>
      </c>
      <c r="G141">
        <v>15514512</v>
      </c>
      <c r="H141">
        <v>3</v>
      </c>
      <c r="I141" t="s">
        <v>447</v>
      </c>
      <c r="J141" t="s">
        <v>448</v>
      </c>
      <c r="K141" t="s">
        <v>449</v>
      </c>
      <c r="L141">
        <v>1348</v>
      </c>
      <c r="N141">
        <v>1009</v>
      </c>
      <c r="O141" t="s">
        <v>412</v>
      </c>
      <c r="P141" t="s">
        <v>412</v>
      </c>
      <c r="Q141">
        <v>1000</v>
      </c>
      <c r="W141">
        <v>0</v>
      </c>
      <c r="X141">
        <v>779500846</v>
      </c>
      <c r="Y141">
        <f t="shared" si="26"/>
        <v>3.0000000000000001E-5</v>
      </c>
      <c r="AA141">
        <v>73951.73</v>
      </c>
      <c r="AB141">
        <v>0</v>
      </c>
      <c r="AC141">
        <v>0</v>
      </c>
      <c r="AD141">
        <v>0</v>
      </c>
      <c r="AE141">
        <v>73951.73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3.0000000000000001E-5</v>
      </c>
      <c r="AU141" t="s">
        <v>3</v>
      </c>
      <c r="AV141">
        <v>0</v>
      </c>
      <c r="AW141">
        <v>2</v>
      </c>
      <c r="AX141">
        <v>1473082365</v>
      </c>
      <c r="AY141">
        <v>1</v>
      </c>
      <c r="AZ141">
        <v>0</v>
      </c>
      <c r="BA141">
        <v>234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ROUND(Y141*Source!I617,9)</f>
        <v>3.0000000000000001E-3</v>
      </c>
      <c r="CY141">
        <f>AA141</f>
        <v>73951.73</v>
      </c>
      <c r="CZ141">
        <f>AE141</f>
        <v>73951.73</v>
      </c>
      <c r="DA141">
        <f>AI141</f>
        <v>1</v>
      </c>
      <c r="DB141">
        <f t="shared" si="27"/>
        <v>2.2200000000000002</v>
      </c>
      <c r="DC141">
        <f t="shared" si="28"/>
        <v>0</v>
      </c>
      <c r="DD141" t="s">
        <v>3</v>
      </c>
      <c r="DE141" t="s">
        <v>3</v>
      </c>
      <c r="DF141">
        <f t="shared" si="29"/>
        <v>221.86</v>
      </c>
      <c r="DG141">
        <f t="shared" si="30"/>
        <v>0</v>
      </c>
      <c r="DH141">
        <f t="shared" si="31"/>
        <v>0</v>
      </c>
      <c r="DI141">
        <f t="shared" si="32"/>
        <v>0</v>
      </c>
      <c r="DJ141">
        <f>DF141</f>
        <v>221.86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ROW(Source!A617)</f>
        <v>617</v>
      </c>
      <c r="B142">
        <v>1473080740</v>
      </c>
      <c r="C142">
        <v>1473082358</v>
      </c>
      <c r="D142">
        <v>1441834669</v>
      </c>
      <c r="E142">
        <v>1</v>
      </c>
      <c r="F142">
        <v>1</v>
      </c>
      <c r="G142">
        <v>15514512</v>
      </c>
      <c r="H142">
        <v>3</v>
      </c>
      <c r="I142" t="s">
        <v>462</v>
      </c>
      <c r="J142" t="s">
        <v>463</v>
      </c>
      <c r="K142" t="s">
        <v>464</v>
      </c>
      <c r="L142">
        <v>1346</v>
      </c>
      <c r="N142">
        <v>1009</v>
      </c>
      <c r="O142" t="s">
        <v>401</v>
      </c>
      <c r="P142" t="s">
        <v>401</v>
      </c>
      <c r="Q142">
        <v>1</v>
      </c>
      <c r="W142">
        <v>0</v>
      </c>
      <c r="X142">
        <v>-1813065233</v>
      </c>
      <c r="Y142">
        <f t="shared" si="26"/>
        <v>0.01</v>
      </c>
      <c r="AA142">
        <v>222.28</v>
      </c>
      <c r="AB142">
        <v>0</v>
      </c>
      <c r="AC142">
        <v>0</v>
      </c>
      <c r="AD142">
        <v>0</v>
      </c>
      <c r="AE142">
        <v>222.28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0.01</v>
      </c>
      <c r="AU142" t="s">
        <v>3</v>
      </c>
      <c r="AV142">
        <v>0</v>
      </c>
      <c r="AW142">
        <v>2</v>
      </c>
      <c r="AX142">
        <v>1473082366</v>
      </c>
      <c r="AY142">
        <v>1</v>
      </c>
      <c r="AZ142">
        <v>0</v>
      </c>
      <c r="BA142">
        <v>235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ROUND(Y142*Source!I617,9)</f>
        <v>1</v>
      </c>
      <c r="CY142">
        <f>AA142</f>
        <v>222.28</v>
      </c>
      <c r="CZ142">
        <f>AE142</f>
        <v>222.28</v>
      </c>
      <c r="DA142">
        <f>AI142</f>
        <v>1</v>
      </c>
      <c r="DB142">
        <f t="shared" si="27"/>
        <v>2.2200000000000002</v>
      </c>
      <c r="DC142">
        <f t="shared" si="28"/>
        <v>0</v>
      </c>
      <c r="DD142" t="s">
        <v>3</v>
      </c>
      <c r="DE142" t="s">
        <v>3</v>
      </c>
      <c r="DF142">
        <f t="shared" si="29"/>
        <v>222.28</v>
      </c>
      <c r="DG142">
        <f t="shared" si="30"/>
        <v>0</v>
      </c>
      <c r="DH142">
        <f t="shared" si="31"/>
        <v>0</v>
      </c>
      <c r="DI142">
        <f t="shared" si="32"/>
        <v>0</v>
      </c>
      <c r="DJ142">
        <f>DF142</f>
        <v>222.28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ROW(Source!A668)</f>
        <v>668</v>
      </c>
      <c r="B143">
        <v>1473080740</v>
      </c>
      <c r="C143">
        <v>1473082409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391</v>
      </c>
      <c r="J143" t="s">
        <v>3</v>
      </c>
      <c r="K143" t="s">
        <v>392</v>
      </c>
      <c r="L143">
        <v>1191</v>
      </c>
      <c r="N143">
        <v>1013</v>
      </c>
      <c r="O143" t="s">
        <v>393</v>
      </c>
      <c r="P143" t="s">
        <v>393</v>
      </c>
      <c r="Q143">
        <v>1</v>
      </c>
      <c r="W143">
        <v>0</v>
      </c>
      <c r="X143">
        <v>476480486</v>
      </c>
      <c r="Y143">
        <f t="shared" si="26"/>
        <v>0.7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0.7</v>
      </c>
      <c r="AU143" t="s">
        <v>3</v>
      </c>
      <c r="AV143">
        <v>1</v>
      </c>
      <c r="AW143">
        <v>2</v>
      </c>
      <c r="AX143">
        <v>1473082411</v>
      </c>
      <c r="AY143">
        <v>1</v>
      </c>
      <c r="AZ143">
        <v>0</v>
      </c>
      <c r="BA143">
        <v>263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U143">
        <f>ROUND(AT143*Source!I668*AH143*AL143,2)</f>
        <v>0</v>
      </c>
      <c r="CV143">
        <f>ROUND(Y143*Source!I668,9)</f>
        <v>0.94499999999999995</v>
      </c>
      <c r="CW143">
        <v>0</v>
      </c>
      <c r="CX143">
        <f>ROUND(Y143*Source!I668,9)</f>
        <v>0.94499999999999995</v>
      </c>
      <c r="CY143">
        <f>AD143</f>
        <v>0</v>
      </c>
      <c r="CZ143">
        <f>AH143</f>
        <v>0</v>
      </c>
      <c r="DA143">
        <f>AL143</f>
        <v>1</v>
      </c>
      <c r="DB143">
        <f t="shared" si="27"/>
        <v>0</v>
      </c>
      <c r="DC143">
        <f t="shared" si="28"/>
        <v>0</v>
      </c>
      <c r="DD143" t="s">
        <v>3</v>
      </c>
      <c r="DE143" t="s">
        <v>3</v>
      </c>
      <c r="DF143">
        <f t="shared" si="29"/>
        <v>0</v>
      </c>
      <c r="DG143">
        <f t="shared" si="30"/>
        <v>0</v>
      </c>
      <c r="DH143">
        <f t="shared" si="31"/>
        <v>0</v>
      </c>
      <c r="DI143">
        <f t="shared" si="32"/>
        <v>0</v>
      </c>
      <c r="DJ143">
        <f>DI143</f>
        <v>0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ROW(Source!A671)</f>
        <v>671</v>
      </c>
      <c r="B144">
        <v>1473080740</v>
      </c>
      <c r="C144">
        <v>1473082418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391</v>
      </c>
      <c r="J144" t="s">
        <v>3</v>
      </c>
      <c r="K144" t="s">
        <v>392</v>
      </c>
      <c r="L144">
        <v>1191</v>
      </c>
      <c r="N144">
        <v>1013</v>
      </c>
      <c r="O144" t="s">
        <v>393</v>
      </c>
      <c r="P144" t="s">
        <v>393</v>
      </c>
      <c r="Q144">
        <v>1</v>
      </c>
      <c r="W144">
        <v>0</v>
      </c>
      <c r="X144">
        <v>476480486</v>
      </c>
      <c r="Y144">
        <f t="shared" si="26"/>
        <v>1.23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1.23</v>
      </c>
      <c r="AU144" t="s">
        <v>3</v>
      </c>
      <c r="AV144">
        <v>1</v>
      </c>
      <c r="AW144">
        <v>2</v>
      </c>
      <c r="AX144">
        <v>1473082423</v>
      </c>
      <c r="AY144">
        <v>1</v>
      </c>
      <c r="AZ144">
        <v>6144</v>
      </c>
      <c r="BA144">
        <v>268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U144">
        <f>ROUND(AT144*Source!I671*AH144*AL144,2)</f>
        <v>0</v>
      </c>
      <c r="CV144">
        <f>ROUND(Y144*Source!I671,9)</f>
        <v>0.3075</v>
      </c>
      <c r="CW144">
        <v>0</v>
      </c>
      <c r="CX144">
        <f>ROUND(Y144*Source!I671,9)</f>
        <v>0.3075</v>
      </c>
      <c r="CY144">
        <f>AD144</f>
        <v>0</v>
      </c>
      <c r="CZ144">
        <f>AH144</f>
        <v>0</v>
      </c>
      <c r="DA144">
        <f>AL144</f>
        <v>1</v>
      </c>
      <c r="DB144">
        <f t="shared" si="27"/>
        <v>0</v>
      </c>
      <c r="DC144">
        <f t="shared" si="28"/>
        <v>0</v>
      </c>
      <c r="DD144" t="s">
        <v>3</v>
      </c>
      <c r="DE144" t="s">
        <v>3</v>
      </c>
      <c r="DF144">
        <f t="shared" si="29"/>
        <v>0</v>
      </c>
      <c r="DG144">
        <f t="shared" si="30"/>
        <v>0</v>
      </c>
      <c r="DH144">
        <f t="shared" si="31"/>
        <v>0</v>
      </c>
      <c r="DI144">
        <f t="shared" si="32"/>
        <v>0</v>
      </c>
      <c r="DJ144">
        <f>DI144</f>
        <v>0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ROW(Source!A671)</f>
        <v>671</v>
      </c>
      <c r="B145">
        <v>1473080740</v>
      </c>
      <c r="C145">
        <v>1473082418</v>
      </c>
      <c r="D145">
        <v>1441836187</v>
      </c>
      <c r="E145">
        <v>1</v>
      </c>
      <c r="F145">
        <v>1</v>
      </c>
      <c r="G145">
        <v>15514512</v>
      </c>
      <c r="H145">
        <v>3</v>
      </c>
      <c r="I145" t="s">
        <v>456</v>
      </c>
      <c r="J145" t="s">
        <v>457</v>
      </c>
      <c r="K145" t="s">
        <v>458</v>
      </c>
      <c r="L145">
        <v>1346</v>
      </c>
      <c r="N145">
        <v>1009</v>
      </c>
      <c r="O145" t="s">
        <v>401</v>
      </c>
      <c r="P145" t="s">
        <v>401</v>
      </c>
      <c r="Q145">
        <v>1</v>
      </c>
      <c r="W145">
        <v>0</v>
      </c>
      <c r="X145">
        <v>-1965557150</v>
      </c>
      <c r="Y145">
        <f t="shared" si="26"/>
        <v>1.6E-2</v>
      </c>
      <c r="AA145">
        <v>424.66</v>
      </c>
      <c r="AB145">
        <v>0</v>
      </c>
      <c r="AC145">
        <v>0</v>
      </c>
      <c r="AD145">
        <v>0</v>
      </c>
      <c r="AE145">
        <v>424.66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1.6E-2</v>
      </c>
      <c r="AU145" t="s">
        <v>3</v>
      </c>
      <c r="AV145">
        <v>0</v>
      </c>
      <c r="AW145">
        <v>1</v>
      </c>
      <c r="AX145">
        <v>-1</v>
      </c>
      <c r="AY145">
        <v>0</v>
      </c>
      <c r="AZ145">
        <v>0</v>
      </c>
      <c r="BA145" t="s">
        <v>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ROUND(Y145*Source!I671,9)</f>
        <v>4.0000000000000001E-3</v>
      </c>
      <c r="CY145">
        <f>AA145</f>
        <v>424.66</v>
      </c>
      <c r="CZ145">
        <f>AE145</f>
        <v>424.66</v>
      </c>
      <c r="DA145">
        <f>AI145</f>
        <v>1</v>
      </c>
      <c r="DB145">
        <f t="shared" si="27"/>
        <v>6.79</v>
      </c>
      <c r="DC145">
        <f t="shared" si="28"/>
        <v>0</v>
      </c>
      <c r="DD145" t="s">
        <v>3</v>
      </c>
      <c r="DE145" t="s">
        <v>3</v>
      </c>
      <c r="DF145">
        <f t="shared" si="29"/>
        <v>1.7</v>
      </c>
      <c r="DG145">
        <f t="shared" si="30"/>
        <v>0</v>
      </c>
      <c r="DH145">
        <f t="shared" si="31"/>
        <v>0</v>
      </c>
      <c r="DI145">
        <f t="shared" si="32"/>
        <v>0</v>
      </c>
      <c r="DJ145">
        <f>DF145</f>
        <v>1.7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ROW(Source!A671)</f>
        <v>671</v>
      </c>
      <c r="B146">
        <v>1473080740</v>
      </c>
      <c r="C146">
        <v>1473082418</v>
      </c>
      <c r="D146">
        <v>1441836235</v>
      </c>
      <c r="E146">
        <v>1</v>
      </c>
      <c r="F146">
        <v>1</v>
      </c>
      <c r="G146">
        <v>15514512</v>
      </c>
      <c r="H146">
        <v>3</v>
      </c>
      <c r="I146" t="s">
        <v>398</v>
      </c>
      <c r="J146" t="s">
        <v>399</v>
      </c>
      <c r="K146" t="s">
        <v>400</v>
      </c>
      <c r="L146">
        <v>1346</v>
      </c>
      <c r="N146">
        <v>1009</v>
      </c>
      <c r="O146" t="s">
        <v>401</v>
      </c>
      <c r="P146" t="s">
        <v>401</v>
      </c>
      <c r="Q146">
        <v>1</v>
      </c>
      <c r="W146">
        <v>0</v>
      </c>
      <c r="X146">
        <v>-1595335418</v>
      </c>
      <c r="Y146">
        <f t="shared" si="26"/>
        <v>0.5</v>
      </c>
      <c r="AA146">
        <v>31.49</v>
      </c>
      <c r="AB146">
        <v>0</v>
      </c>
      <c r="AC146">
        <v>0</v>
      </c>
      <c r="AD146">
        <v>0</v>
      </c>
      <c r="AE146">
        <v>31.49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0.5</v>
      </c>
      <c r="AU146" t="s">
        <v>3</v>
      </c>
      <c r="AV146">
        <v>0</v>
      </c>
      <c r="AW146">
        <v>1</v>
      </c>
      <c r="AX146">
        <v>-1</v>
      </c>
      <c r="AY146">
        <v>0</v>
      </c>
      <c r="AZ146">
        <v>0</v>
      </c>
      <c r="BA146" t="s">
        <v>3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ROUND(Y146*Source!I671,9)</f>
        <v>0.125</v>
      </c>
      <c r="CY146">
        <f>AA146</f>
        <v>31.49</v>
      </c>
      <c r="CZ146">
        <f>AE146</f>
        <v>31.49</v>
      </c>
      <c r="DA146">
        <f>AI146</f>
        <v>1</v>
      </c>
      <c r="DB146">
        <f t="shared" si="27"/>
        <v>15.75</v>
      </c>
      <c r="DC146">
        <f t="shared" si="28"/>
        <v>0</v>
      </c>
      <c r="DD146" t="s">
        <v>3</v>
      </c>
      <c r="DE146" t="s">
        <v>3</v>
      </c>
      <c r="DF146">
        <f t="shared" si="29"/>
        <v>3.94</v>
      </c>
      <c r="DG146">
        <f t="shared" si="30"/>
        <v>0</v>
      </c>
      <c r="DH146">
        <f t="shared" si="31"/>
        <v>0</v>
      </c>
      <c r="DI146">
        <f t="shared" si="32"/>
        <v>0</v>
      </c>
      <c r="DJ146">
        <f>DF146</f>
        <v>3.94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ROW(Source!A671)</f>
        <v>671</v>
      </c>
      <c r="B147">
        <v>1473080740</v>
      </c>
      <c r="C147">
        <v>1473082418</v>
      </c>
      <c r="D147">
        <v>1441838748</v>
      </c>
      <c r="E147">
        <v>1</v>
      </c>
      <c r="F147">
        <v>1</v>
      </c>
      <c r="G147">
        <v>15514512</v>
      </c>
      <c r="H147">
        <v>3</v>
      </c>
      <c r="I147" t="s">
        <v>465</v>
      </c>
      <c r="J147" t="s">
        <v>466</v>
      </c>
      <c r="K147" t="s">
        <v>467</v>
      </c>
      <c r="L147">
        <v>1327</v>
      </c>
      <c r="N147">
        <v>1005</v>
      </c>
      <c r="O147" t="s">
        <v>430</v>
      </c>
      <c r="P147" t="s">
        <v>430</v>
      </c>
      <c r="Q147">
        <v>1</v>
      </c>
      <c r="W147">
        <v>0</v>
      </c>
      <c r="X147">
        <v>81658915</v>
      </c>
      <c r="Y147">
        <f t="shared" si="26"/>
        <v>0.01</v>
      </c>
      <c r="AA147">
        <v>208.99</v>
      </c>
      <c r="AB147">
        <v>0</v>
      </c>
      <c r="AC147">
        <v>0</v>
      </c>
      <c r="AD147">
        <v>0</v>
      </c>
      <c r="AE147">
        <v>208.99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0.01</v>
      </c>
      <c r="AU147" t="s">
        <v>3</v>
      </c>
      <c r="AV147">
        <v>0</v>
      </c>
      <c r="AW147">
        <v>1</v>
      </c>
      <c r="AX147">
        <v>-1</v>
      </c>
      <c r="AY147">
        <v>0</v>
      </c>
      <c r="AZ147">
        <v>0</v>
      </c>
      <c r="BA147" t="s">
        <v>3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ROUND(Y147*Source!I671,9)</f>
        <v>2.5000000000000001E-3</v>
      </c>
      <c r="CY147">
        <f>AA147</f>
        <v>208.99</v>
      </c>
      <c r="CZ147">
        <f>AE147</f>
        <v>208.99</v>
      </c>
      <c r="DA147">
        <f>AI147</f>
        <v>1</v>
      </c>
      <c r="DB147">
        <f t="shared" si="27"/>
        <v>2.09</v>
      </c>
      <c r="DC147">
        <f t="shared" si="28"/>
        <v>0</v>
      </c>
      <c r="DD147" t="s">
        <v>3</v>
      </c>
      <c r="DE147" t="s">
        <v>3</v>
      </c>
      <c r="DF147">
        <f t="shared" si="29"/>
        <v>0.52</v>
      </c>
      <c r="DG147">
        <f t="shared" si="30"/>
        <v>0</v>
      </c>
      <c r="DH147">
        <f t="shared" si="31"/>
        <v>0</v>
      </c>
      <c r="DI147">
        <f t="shared" si="32"/>
        <v>0</v>
      </c>
      <c r="DJ147">
        <f>DF147</f>
        <v>0.52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6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1473081793</v>
      </c>
      <c r="C1">
        <v>1473081789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391</v>
      </c>
      <c r="J1" t="s">
        <v>3</v>
      </c>
      <c r="K1" t="s">
        <v>392</v>
      </c>
      <c r="L1">
        <v>1191</v>
      </c>
      <c r="N1">
        <v>1013</v>
      </c>
      <c r="O1" t="s">
        <v>393</v>
      </c>
      <c r="P1" t="s">
        <v>393</v>
      </c>
      <c r="Q1">
        <v>1</v>
      </c>
      <c r="X1">
        <v>0.82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9.84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1473081798</v>
      </c>
      <c r="C2">
        <v>1473081794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391</v>
      </c>
      <c r="J2" t="s">
        <v>3</v>
      </c>
      <c r="K2" t="s">
        <v>392</v>
      </c>
      <c r="L2">
        <v>1191</v>
      </c>
      <c r="N2">
        <v>1013</v>
      </c>
      <c r="O2" t="s">
        <v>393</v>
      </c>
      <c r="P2" t="s">
        <v>393</v>
      </c>
      <c r="Q2">
        <v>1</v>
      </c>
      <c r="X2">
        <v>0.9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28</v>
      </c>
      <c r="AG2">
        <v>3.6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ROW(Source!A34)</f>
        <v>34</v>
      </c>
      <c r="B3">
        <v>1473081801</v>
      </c>
      <c r="C3">
        <v>1473081799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391</v>
      </c>
      <c r="J3" t="s">
        <v>3</v>
      </c>
      <c r="K3" t="s">
        <v>392</v>
      </c>
      <c r="L3">
        <v>1191</v>
      </c>
      <c r="N3">
        <v>1013</v>
      </c>
      <c r="O3" t="s">
        <v>393</v>
      </c>
      <c r="P3" t="s">
        <v>393</v>
      </c>
      <c r="Q3">
        <v>1</v>
      </c>
      <c r="X3">
        <v>0.61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0.61</v>
      </c>
      <c r="AH3">
        <v>2</v>
      </c>
      <c r="AI3">
        <v>1473081800</v>
      </c>
      <c r="AJ3">
        <v>1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ROW(Source!A35)</f>
        <v>35</v>
      </c>
      <c r="B4">
        <v>1473081804</v>
      </c>
      <c r="C4">
        <v>1473081802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391</v>
      </c>
      <c r="J4" t="s">
        <v>3</v>
      </c>
      <c r="K4" t="s">
        <v>392</v>
      </c>
      <c r="L4">
        <v>1191</v>
      </c>
      <c r="N4">
        <v>1013</v>
      </c>
      <c r="O4" t="s">
        <v>393</v>
      </c>
      <c r="P4" t="s">
        <v>393</v>
      </c>
      <c r="Q4">
        <v>1</v>
      </c>
      <c r="X4">
        <v>0.45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0.45</v>
      </c>
      <c r="AH4">
        <v>2</v>
      </c>
      <c r="AI4">
        <v>1473081803</v>
      </c>
      <c r="AJ4">
        <v>2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ROW(Source!A36)</f>
        <v>36</v>
      </c>
      <c r="B5">
        <v>1473081809</v>
      </c>
      <c r="C5">
        <v>1473081805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391</v>
      </c>
      <c r="J5" t="s">
        <v>3</v>
      </c>
      <c r="K5" t="s">
        <v>392</v>
      </c>
      <c r="L5">
        <v>1191</v>
      </c>
      <c r="N5">
        <v>1013</v>
      </c>
      <c r="O5" t="s">
        <v>393</v>
      </c>
      <c r="P5" t="s">
        <v>393</v>
      </c>
      <c r="Q5">
        <v>1</v>
      </c>
      <c r="X5">
        <v>1.75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1.75</v>
      </c>
      <c r="AH5">
        <v>2</v>
      </c>
      <c r="AI5">
        <v>1473081806</v>
      </c>
      <c r="AJ5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ROW(Source!A36)</f>
        <v>36</v>
      </c>
      <c r="B6">
        <v>1473081810</v>
      </c>
      <c r="C6">
        <v>1473081805</v>
      </c>
      <c r="D6">
        <v>1441834258</v>
      </c>
      <c r="E6">
        <v>1</v>
      </c>
      <c r="F6">
        <v>1</v>
      </c>
      <c r="G6">
        <v>15514512</v>
      </c>
      <c r="H6">
        <v>2</v>
      </c>
      <c r="I6" t="s">
        <v>394</v>
      </c>
      <c r="J6" t="s">
        <v>395</v>
      </c>
      <c r="K6" t="s">
        <v>396</v>
      </c>
      <c r="L6">
        <v>1368</v>
      </c>
      <c r="N6">
        <v>1011</v>
      </c>
      <c r="O6" t="s">
        <v>397</v>
      </c>
      <c r="P6" t="s">
        <v>397</v>
      </c>
      <c r="Q6">
        <v>1</v>
      </c>
      <c r="X6">
        <v>1.083</v>
      </c>
      <c r="Y6">
        <v>0</v>
      </c>
      <c r="Z6">
        <v>1303.01</v>
      </c>
      <c r="AA6">
        <v>826.2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1.083</v>
      </c>
      <c r="AH6">
        <v>2</v>
      </c>
      <c r="AI6">
        <v>1473081807</v>
      </c>
      <c r="AJ6">
        <v>4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ROW(Source!A36)</f>
        <v>36</v>
      </c>
      <c r="B7">
        <v>1473081811</v>
      </c>
      <c r="C7">
        <v>1473081805</v>
      </c>
      <c r="D7">
        <v>1441836235</v>
      </c>
      <c r="E7">
        <v>1</v>
      </c>
      <c r="F7">
        <v>1</v>
      </c>
      <c r="G7">
        <v>15514512</v>
      </c>
      <c r="H7">
        <v>3</v>
      </c>
      <c r="I7" t="s">
        <v>398</v>
      </c>
      <c r="J7" t="s">
        <v>399</v>
      </c>
      <c r="K7" t="s">
        <v>400</v>
      </c>
      <c r="L7">
        <v>1346</v>
      </c>
      <c r="N7">
        <v>1009</v>
      </c>
      <c r="O7" t="s">
        <v>401</v>
      </c>
      <c r="P7" t="s">
        <v>401</v>
      </c>
      <c r="Q7">
        <v>1</v>
      </c>
      <c r="X7">
        <v>0.02</v>
      </c>
      <c r="Y7">
        <v>31.49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0.02</v>
      </c>
      <c r="AH7">
        <v>2</v>
      </c>
      <c r="AI7">
        <v>1473081808</v>
      </c>
      <c r="AJ7">
        <v>5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ROW(Source!A37)</f>
        <v>37</v>
      </c>
      <c r="B8">
        <v>1473081813</v>
      </c>
      <c r="C8">
        <v>1473081812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391</v>
      </c>
      <c r="J8" t="s">
        <v>3</v>
      </c>
      <c r="K8" t="s">
        <v>392</v>
      </c>
      <c r="L8">
        <v>1191</v>
      </c>
      <c r="N8">
        <v>1013</v>
      </c>
      <c r="O8" t="s">
        <v>393</v>
      </c>
      <c r="P8" t="s">
        <v>393</v>
      </c>
      <c r="Q8">
        <v>1</v>
      </c>
      <c r="X8">
        <v>0.9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28</v>
      </c>
      <c r="AG8">
        <v>3.6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ROW(Source!A73)</f>
        <v>73</v>
      </c>
      <c r="B9">
        <v>1473081815</v>
      </c>
      <c r="C9">
        <v>1473081814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391</v>
      </c>
      <c r="J9" t="s">
        <v>3</v>
      </c>
      <c r="K9" t="s">
        <v>392</v>
      </c>
      <c r="L9">
        <v>1191</v>
      </c>
      <c r="N9">
        <v>1013</v>
      </c>
      <c r="O9" t="s">
        <v>393</v>
      </c>
      <c r="P9" t="s">
        <v>393</v>
      </c>
      <c r="Q9">
        <v>1</v>
      </c>
      <c r="X9">
        <v>29.54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29.54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ROW(Source!A73)</f>
        <v>73</v>
      </c>
      <c r="B10">
        <v>1473081816</v>
      </c>
      <c r="C10">
        <v>1473081814</v>
      </c>
      <c r="D10">
        <v>1441835469</v>
      </c>
      <c r="E10">
        <v>1</v>
      </c>
      <c r="F10">
        <v>1</v>
      </c>
      <c r="G10">
        <v>15514512</v>
      </c>
      <c r="H10">
        <v>3</v>
      </c>
      <c r="I10" t="s">
        <v>468</v>
      </c>
      <c r="J10" t="s">
        <v>469</v>
      </c>
      <c r="K10" t="s">
        <v>470</v>
      </c>
      <c r="L10">
        <v>1348</v>
      </c>
      <c r="N10">
        <v>1009</v>
      </c>
      <c r="O10" t="s">
        <v>412</v>
      </c>
      <c r="P10" t="s">
        <v>412</v>
      </c>
      <c r="Q10">
        <v>1000</v>
      </c>
      <c r="X10">
        <v>5.0000000000000001E-3</v>
      </c>
      <c r="Y10">
        <v>163237.26999999999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5.0000000000000001E-3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ROW(Source!A73)</f>
        <v>73</v>
      </c>
      <c r="B11">
        <v>1473081817</v>
      </c>
      <c r="C11">
        <v>1473081814</v>
      </c>
      <c r="D11">
        <v>1441836514</v>
      </c>
      <c r="E11">
        <v>1</v>
      </c>
      <c r="F11">
        <v>1</v>
      </c>
      <c r="G11">
        <v>15514512</v>
      </c>
      <c r="H11">
        <v>3</v>
      </c>
      <c r="I11" t="s">
        <v>471</v>
      </c>
      <c r="J11" t="s">
        <v>472</v>
      </c>
      <c r="K11" t="s">
        <v>473</v>
      </c>
      <c r="L11">
        <v>1339</v>
      </c>
      <c r="N11">
        <v>1007</v>
      </c>
      <c r="O11" t="s">
        <v>434</v>
      </c>
      <c r="P11" t="s">
        <v>434</v>
      </c>
      <c r="Q11">
        <v>1</v>
      </c>
      <c r="X11">
        <v>7.8</v>
      </c>
      <c r="Y11">
        <v>54.81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7.8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ROW(Source!A73)</f>
        <v>73</v>
      </c>
      <c r="B12">
        <v>1473081818</v>
      </c>
      <c r="C12">
        <v>1473081814</v>
      </c>
      <c r="D12">
        <v>1441847238</v>
      </c>
      <c r="E12">
        <v>1</v>
      </c>
      <c r="F12">
        <v>1</v>
      </c>
      <c r="G12">
        <v>15514512</v>
      </c>
      <c r="H12">
        <v>3</v>
      </c>
      <c r="I12" t="s">
        <v>474</v>
      </c>
      <c r="J12" t="s">
        <v>475</v>
      </c>
      <c r="K12" t="s">
        <v>476</v>
      </c>
      <c r="L12">
        <v>1346</v>
      </c>
      <c r="N12">
        <v>1009</v>
      </c>
      <c r="O12" t="s">
        <v>401</v>
      </c>
      <c r="P12" t="s">
        <v>401</v>
      </c>
      <c r="Q12">
        <v>1</v>
      </c>
      <c r="X12">
        <v>2</v>
      </c>
      <c r="Y12">
        <v>742.26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2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ROW(Source!A74)</f>
        <v>74</v>
      </c>
      <c r="B13">
        <v>1473081820</v>
      </c>
      <c r="C13">
        <v>1473081819</v>
      </c>
      <c r="D13">
        <v>1441819193</v>
      </c>
      <c r="E13">
        <v>15514512</v>
      </c>
      <c r="F13">
        <v>1</v>
      </c>
      <c r="G13">
        <v>15514512</v>
      </c>
      <c r="H13">
        <v>1</v>
      </c>
      <c r="I13" t="s">
        <v>391</v>
      </c>
      <c r="J13" t="s">
        <v>3</v>
      </c>
      <c r="K13" t="s">
        <v>392</v>
      </c>
      <c r="L13">
        <v>1191</v>
      </c>
      <c r="N13">
        <v>1013</v>
      </c>
      <c r="O13" t="s">
        <v>393</v>
      </c>
      <c r="P13" t="s">
        <v>393</v>
      </c>
      <c r="Q13">
        <v>1</v>
      </c>
      <c r="X13">
        <v>0.9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28</v>
      </c>
      <c r="AG13">
        <v>3.6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ROW(Source!A75)</f>
        <v>75</v>
      </c>
      <c r="B14">
        <v>1473081822</v>
      </c>
      <c r="C14">
        <v>1473081821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391</v>
      </c>
      <c r="J14" t="s">
        <v>3</v>
      </c>
      <c r="K14" t="s">
        <v>392</v>
      </c>
      <c r="L14">
        <v>1191</v>
      </c>
      <c r="N14">
        <v>1013</v>
      </c>
      <c r="O14" t="s">
        <v>393</v>
      </c>
      <c r="P14" t="s">
        <v>393</v>
      </c>
      <c r="Q14">
        <v>1</v>
      </c>
      <c r="X14">
        <v>0.9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28</v>
      </c>
      <c r="AG14">
        <v>3.6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ROW(Source!A76)</f>
        <v>76</v>
      </c>
      <c r="B15">
        <v>1473081824</v>
      </c>
      <c r="C15">
        <v>1473081823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391</v>
      </c>
      <c r="J15" t="s">
        <v>3</v>
      </c>
      <c r="K15" t="s">
        <v>392</v>
      </c>
      <c r="L15">
        <v>1191</v>
      </c>
      <c r="N15">
        <v>1013</v>
      </c>
      <c r="O15" t="s">
        <v>393</v>
      </c>
      <c r="P15" t="s">
        <v>393</v>
      </c>
      <c r="Q15">
        <v>1</v>
      </c>
      <c r="X15">
        <v>0.13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104</v>
      </c>
      <c r="AG15">
        <v>0.52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ROW(Source!A112)</f>
        <v>112</v>
      </c>
      <c r="B16">
        <v>1473081829</v>
      </c>
      <c r="C16">
        <v>1473081825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391</v>
      </c>
      <c r="J16" t="s">
        <v>3</v>
      </c>
      <c r="K16" t="s">
        <v>392</v>
      </c>
      <c r="L16">
        <v>1191</v>
      </c>
      <c r="N16">
        <v>1013</v>
      </c>
      <c r="O16" t="s">
        <v>393</v>
      </c>
      <c r="P16" t="s">
        <v>393</v>
      </c>
      <c r="Q16">
        <v>1</v>
      </c>
      <c r="X16">
        <v>1.26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109</v>
      </c>
      <c r="AG16">
        <v>21.42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ROW(Source!A113)</f>
        <v>113</v>
      </c>
      <c r="B17">
        <v>1473081834</v>
      </c>
      <c r="C17">
        <v>1473081830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391</v>
      </c>
      <c r="J17" t="s">
        <v>3</v>
      </c>
      <c r="K17" t="s">
        <v>392</v>
      </c>
      <c r="L17">
        <v>1191</v>
      </c>
      <c r="N17">
        <v>1013</v>
      </c>
      <c r="O17" t="s">
        <v>393</v>
      </c>
      <c r="P17" t="s">
        <v>393</v>
      </c>
      <c r="Q17">
        <v>1</v>
      </c>
      <c r="X17">
        <v>0.27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109</v>
      </c>
      <c r="AG17">
        <v>4.59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ROW(Source!A114)</f>
        <v>114</v>
      </c>
      <c r="B18">
        <v>1473081839</v>
      </c>
      <c r="C18">
        <v>1473081835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391</v>
      </c>
      <c r="J18" t="s">
        <v>3</v>
      </c>
      <c r="K18" t="s">
        <v>392</v>
      </c>
      <c r="L18">
        <v>1191</v>
      </c>
      <c r="N18">
        <v>1013</v>
      </c>
      <c r="O18" t="s">
        <v>393</v>
      </c>
      <c r="P18" t="s">
        <v>393</v>
      </c>
      <c r="Q18">
        <v>1</v>
      </c>
      <c r="X18">
        <v>0.23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109</v>
      </c>
      <c r="AG18">
        <v>3.91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ROW(Source!A115)</f>
        <v>115</v>
      </c>
      <c r="B19">
        <v>1473081841</v>
      </c>
      <c r="C19">
        <v>1473081840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391</v>
      </c>
      <c r="J19" t="s">
        <v>3</v>
      </c>
      <c r="K19" t="s">
        <v>392</v>
      </c>
      <c r="L19">
        <v>1191</v>
      </c>
      <c r="N19">
        <v>1013</v>
      </c>
      <c r="O19" t="s">
        <v>393</v>
      </c>
      <c r="P19" t="s">
        <v>393</v>
      </c>
      <c r="Q19">
        <v>1</v>
      </c>
      <c r="X19">
        <v>0.23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109</v>
      </c>
      <c r="AG19">
        <v>3.91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ROW(Source!A116)</f>
        <v>116</v>
      </c>
      <c r="B20">
        <v>1473081846</v>
      </c>
      <c r="C20">
        <v>1473081842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391</v>
      </c>
      <c r="J20" t="s">
        <v>3</v>
      </c>
      <c r="K20" t="s">
        <v>392</v>
      </c>
      <c r="L20">
        <v>1191</v>
      </c>
      <c r="N20">
        <v>1013</v>
      </c>
      <c r="O20" t="s">
        <v>393</v>
      </c>
      <c r="P20" t="s">
        <v>393</v>
      </c>
      <c r="Q20">
        <v>1</v>
      </c>
      <c r="X20">
        <v>0.23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109</v>
      </c>
      <c r="AG20">
        <v>3.91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ROW(Source!A117)</f>
        <v>117</v>
      </c>
      <c r="B21">
        <v>1473081863</v>
      </c>
      <c r="C21">
        <v>1473081847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391</v>
      </c>
      <c r="J21" t="s">
        <v>3</v>
      </c>
      <c r="K21" t="s">
        <v>392</v>
      </c>
      <c r="L21">
        <v>1191</v>
      </c>
      <c r="N21">
        <v>1013</v>
      </c>
      <c r="O21" t="s">
        <v>393</v>
      </c>
      <c r="P21" t="s">
        <v>393</v>
      </c>
      <c r="Q21">
        <v>1</v>
      </c>
      <c r="X21">
        <v>104.44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104.44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ROW(Source!A117)</f>
        <v>117</v>
      </c>
      <c r="B22">
        <v>1473081864</v>
      </c>
      <c r="C22">
        <v>1473081847</v>
      </c>
      <c r="D22">
        <v>1441834334</v>
      </c>
      <c r="E22">
        <v>1</v>
      </c>
      <c r="F22">
        <v>1</v>
      </c>
      <c r="G22">
        <v>15514512</v>
      </c>
      <c r="H22">
        <v>2</v>
      </c>
      <c r="I22" t="s">
        <v>477</v>
      </c>
      <c r="J22" t="s">
        <v>478</v>
      </c>
      <c r="K22" t="s">
        <v>479</v>
      </c>
      <c r="L22">
        <v>1368</v>
      </c>
      <c r="N22">
        <v>1011</v>
      </c>
      <c r="O22" t="s">
        <v>397</v>
      </c>
      <c r="P22" t="s">
        <v>397</v>
      </c>
      <c r="Q22">
        <v>1</v>
      </c>
      <c r="X22">
        <v>5.8</v>
      </c>
      <c r="Y22">
        <v>0</v>
      </c>
      <c r="Z22">
        <v>10.66</v>
      </c>
      <c r="AA22">
        <v>0.12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5.8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ROW(Source!A117)</f>
        <v>117</v>
      </c>
      <c r="B23">
        <v>1473081866</v>
      </c>
      <c r="C23">
        <v>1473081847</v>
      </c>
      <c r="D23">
        <v>1441834443</v>
      </c>
      <c r="E23">
        <v>1</v>
      </c>
      <c r="F23">
        <v>1</v>
      </c>
      <c r="G23">
        <v>15514512</v>
      </c>
      <c r="H23">
        <v>3</v>
      </c>
      <c r="I23" t="s">
        <v>402</v>
      </c>
      <c r="J23" t="s">
        <v>403</v>
      </c>
      <c r="K23" t="s">
        <v>404</v>
      </c>
      <c r="L23">
        <v>1296</v>
      </c>
      <c r="N23">
        <v>1002</v>
      </c>
      <c r="O23" t="s">
        <v>405</v>
      </c>
      <c r="P23" t="s">
        <v>405</v>
      </c>
      <c r="Q23">
        <v>1</v>
      </c>
      <c r="X23">
        <v>0.31</v>
      </c>
      <c r="Y23">
        <v>785.72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0.31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ROW(Source!A117)</f>
        <v>117</v>
      </c>
      <c r="B24">
        <v>1473081867</v>
      </c>
      <c r="C24">
        <v>1473081847</v>
      </c>
      <c r="D24">
        <v>1441821225</v>
      </c>
      <c r="E24">
        <v>15514512</v>
      </c>
      <c r="F24">
        <v>1</v>
      </c>
      <c r="G24">
        <v>15514512</v>
      </c>
      <c r="H24">
        <v>3</v>
      </c>
      <c r="I24" t="s">
        <v>480</v>
      </c>
      <c r="J24" t="s">
        <v>3</v>
      </c>
      <c r="K24" t="s">
        <v>481</v>
      </c>
      <c r="L24">
        <v>1346</v>
      </c>
      <c r="N24">
        <v>1009</v>
      </c>
      <c r="O24" t="s">
        <v>401</v>
      </c>
      <c r="P24" t="s">
        <v>401</v>
      </c>
      <c r="Q24">
        <v>1</v>
      </c>
      <c r="X24">
        <v>1.08</v>
      </c>
      <c r="Y24">
        <v>292.57515999999998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1.08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ROW(Source!A117)</f>
        <v>117</v>
      </c>
      <c r="B25">
        <v>1473081865</v>
      </c>
      <c r="C25">
        <v>1473081847</v>
      </c>
      <c r="D25">
        <v>1441821223</v>
      </c>
      <c r="E25">
        <v>15514512</v>
      </c>
      <c r="F25">
        <v>1</v>
      </c>
      <c r="G25">
        <v>15514512</v>
      </c>
      <c r="H25">
        <v>3</v>
      </c>
      <c r="I25" t="s">
        <v>482</v>
      </c>
      <c r="J25" t="s">
        <v>3</v>
      </c>
      <c r="K25" t="s">
        <v>483</v>
      </c>
      <c r="L25">
        <v>1346</v>
      </c>
      <c r="N25">
        <v>1009</v>
      </c>
      <c r="O25" t="s">
        <v>401</v>
      </c>
      <c r="P25" t="s">
        <v>401</v>
      </c>
      <c r="Q25">
        <v>1</v>
      </c>
      <c r="X25">
        <v>0.98</v>
      </c>
      <c r="Y25">
        <v>221.4237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0.98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ROW(Source!A118)</f>
        <v>118</v>
      </c>
      <c r="B26">
        <v>1473081884</v>
      </c>
      <c r="C26">
        <v>1473081868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391</v>
      </c>
      <c r="J26" t="s">
        <v>3</v>
      </c>
      <c r="K26" t="s">
        <v>392</v>
      </c>
      <c r="L26">
        <v>1191</v>
      </c>
      <c r="N26">
        <v>1013</v>
      </c>
      <c r="O26" t="s">
        <v>393</v>
      </c>
      <c r="P26" t="s">
        <v>393</v>
      </c>
      <c r="Q26">
        <v>1</v>
      </c>
      <c r="X26">
        <v>151.93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151.93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ROW(Source!A118)</f>
        <v>118</v>
      </c>
      <c r="B27">
        <v>1473081885</v>
      </c>
      <c r="C27">
        <v>1473081868</v>
      </c>
      <c r="D27">
        <v>1441834334</v>
      </c>
      <c r="E27">
        <v>1</v>
      </c>
      <c r="F27">
        <v>1</v>
      </c>
      <c r="G27">
        <v>15514512</v>
      </c>
      <c r="H27">
        <v>2</v>
      </c>
      <c r="I27" t="s">
        <v>477</v>
      </c>
      <c r="J27" t="s">
        <v>478</v>
      </c>
      <c r="K27" t="s">
        <v>479</v>
      </c>
      <c r="L27">
        <v>1368</v>
      </c>
      <c r="N27">
        <v>1011</v>
      </c>
      <c r="O27" t="s">
        <v>397</v>
      </c>
      <c r="P27" t="s">
        <v>397</v>
      </c>
      <c r="Q27">
        <v>1</v>
      </c>
      <c r="X27">
        <v>5.8</v>
      </c>
      <c r="Y27">
        <v>0</v>
      </c>
      <c r="Z27">
        <v>10.66</v>
      </c>
      <c r="AA27">
        <v>0.12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5.8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ROW(Source!A118)</f>
        <v>118</v>
      </c>
      <c r="B28">
        <v>1473081887</v>
      </c>
      <c r="C28">
        <v>1473081868</v>
      </c>
      <c r="D28">
        <v>1441834443</v>
      </c>
      <c r="E28">
        <v>1</v>
      </c>
      <c r="F28">
        <v>1</v>
      </c>
      <c r="G28">
        <v>15514512</v>
      </c>
      <c r="H28">
        <v>3</v>
      </c>
      <c r="I28" t="s">
        <v>402</v>
      </c>
      <c r="J28" t="s">
        <v>403</v>
      </c>
      <c r="K28" t="s">
        <v>404</v>
      </c>
      <c r="L28">
        <v>1296</v>
      </c>
      <c r="N28">
        <v>1002</v>
      </c>
      <c r="O28" t="s">
        <v>405</v>
      </c>
      <c r="P28" t="s">
        <v>405</v>
      </c>
      <c r="Q28">
        <v>1</v>
      </c>
      <c r="X28">
        <v>0.31</v>
      </c>
      <c r="Y28">
        <v>785.72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0.31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ROW(Source!A118)</f>
        <v>118</v>
      </c>
      <c r="B29">
        <v>1473081888</v>
      </c>
      <c r="C29">
        <v>1473081868</v>
      </c>
      <c r="D29">
        <v>1441821225</v>
      </c>
      <c r="E29">
        <v>15514512</v>
      </c>
      <c r="F29">
        <v>1</v>
      </c>
      <c r="G29">
        <v>15514512</v>
      </c>
      <c r="H29">
        <v>3</v>
      </c>
      <c r="I29" t="s">
        <v>480</v>
      </c>
      <c r="J29" t="s">
        <v>3</v>
      </c>
      <c r="K29" t="s">
        <v>481</v>
      </c>
      <c r="L29">
        <v>1346</v>
      </c>
      <c r="N29">
        <v>1009</v>
      </c>
      <c r="O29" t="s">
        <v>401</v>
      </c>
      <c r="P29" t="s">
        <v>401</v>
      </c>
      <c r="Q29">
        <v>1</v>
      </c>
      <c r="X29">
        <v>1.08</v>
      </c>
      <c r="Y29">
        <v>292.57515999999998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1.08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ROW(Source!A118)</f>
        <v>118</v>
      </c>
      <c r="B30">
        <v>1473081886</v>
      </c>
      <c r="C30">
        <v>1473081868</v>
      </c>
      <c r="D30">
        <v>1441821223</v>
      </c>
      <c r="E30">
        <v>15514512</v>
      </c>
      <c r="F30">
        <v>1</v>
      </c>
      <c r="G30">
        <v>15514512</v>
      </c>
      <c r="H30">
        <v>3</v>
      </c>
      <c r="I30" t="s">
        <v>482</v>
      </c>
      <c r="J30" t="s">
        <v>3</v>
      </c>
      <c r="K30" t="s">
        <v>483</v>
      </c>
      <c r="L30">
        <v>1346</v>
      </c>
      <c r="N30">
        <v>1009</v>
      </c>
      <c r="O30" t="s">
        <v>401</v>
      </c>
      <c r="P30" t="s">
        <v>401</v>
      </c>
      <c r="Q30">
        <v>1</v>
      </c>
      <c r="X30">
        <v>0.98</v>
      </c>
      <c r="Y30">
        <v>221.4237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0.98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ROW(Source!A119)</f>
        <v>119</v>
      </c>
      <c r="B31">
        <v>1473081896</v>
      </c>
      <c r="C31">
        <v>1473081889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391</v>
      </c>
      <c r="J31" t="s">
        <v>3</v>
      </c>
      <c r="K31" t="s">
        <v>392</v>
      </c>
      <c r="L31">
        <v>1191</v>
      </c>
      <c r="N31">
        <v>1013</v>
      </c>
      <c r="O31" t="s">
        <v>393</v>
      </c>
      <c r="P31" t="s">
        <v>393</v>
      </c>
      <c r="Q31">
        <v>1</v>
      </c>
      <c r="X31">
        <v>0.37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0.37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ROW(Source!A119)</f>
        <v>119</v>
      </c>
      <c r="B32">
        <v>1473081897</v>
      </c>
      <c r="C32">
        <v>1473081889</v>
      </c>
      <c r="D32">
        <v>1441834258</v>
      </c>
      <c r="E32">
        <v>1</v>
      </c>
      <c r="F32">
        <v>1</v>
      </c>
      <c r="G32">
        <v>15514512</v>
      </c>
      <c r="H32">
        <v>2</v>
      </c>
      <c r="I32" t="s">
        <v>394</v>
      </c>
      <c r="J32" t="s">
        <v>395</v>
      </c>
      <c r="K32" t="s">
        <v>396</v>
      </c>
      <c r="L32">
        <v>1368</v>
      </c>
      <c r="N32">
        <v>1011</v>
      </c>
      <c r="O32" t="s">
        <v>397</v>
      </c>
      <c r="P32" t="s">
        <v>397</v>
      </c>
      <c r="Q32">
        <v>1</v>
      </c>
      <c r="X32">
        <v>0.06</v>
      </c>
      <c r="Y32">
        <v>0</v>
      </c>
      <c r="Z32">
        <v>1303.01</v>
      </c>
      <c r="AA32">
        <v>826.2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0.06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ROW(Source!A120)</f>
        <v>120</v>
      </c>
      <c r="B33">
        <v>1473081902</v>
      </c>
      <c r="C33">
        <v>1473081898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391</v>
      </c>
      <c r="J33" t="s">
        <v>3</v>
      </c>
      <c r="K33" t="s">
        <v>392</v>
      </c>
      <c r="L33">
        <v>1191</v>
      </c>
      <c r="N33">
        <v>1013</v>
      </c>
      <c r="O33" t="s">
        <v>393</v>
      </c>
      <c r="P33" t="s">
        <v>393</v>
      </c>
      <c r="Q33">
        <v>1</v>
      </c>
      <c r="X33">
        <v>26.7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26.7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ROW(Source!A121)</f>
        <v>121</v>
      </c>
      <c r="B34">
        <v>1473081910</v>
      </c>
      <c r="C34">
        <v>1473081903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391</v>
      </c>
      <c r="J34" t="s">
        <v>3</v>
      </c>
      <c r="K34" t="s">
        <v>392</v>
      </c>
      <c r="L34">
        <v>1191</v>
      </c>
      <c r="N34">
        <v>1013</v>
      </c>
      <c r="O34" t="s">
        <v>393</v>
      </c>
      <c r="P34" t="s">
        <v>393</v>
      </c>
      <c r="Q34">
        <v>1</v>
      </c>
      <c r="X34">
        <v>28.02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28</v>
      </c>
      <c r="AG34">
        <v>112.08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ROW(Source!A121)</f>
        <v>121</v>
      </c>
      <c r="B35">
        <v>1473081911</v>
      </c>
      <c r="C35">
        <v>1473081903</v>
      </c>
      <c r="D35">
        <v>1441834443</v>
      </c>
      <c r="E35">
        <v>1</v>
      </c>
      <c r="F35">
        <v>1</v>
      </c>
      <c r="G35">
        <v>15514512</v>
      </c>
      <c r="H35">
        <v>3</v>
      </c>
      <c r="I35" t="s">
        <v>402</v>
      </c>
      <c r="J35" t="s">
        <v>403</v>
      </c>
      <c r="K35" t="s">
        <v>404</v>
      </c>
      <c r="L35">
        <v>1296</v>
      </c>
      <c r="N35">
        <v>1002</v>
      </c>
      <c r="O35" t="s">
        <v>405</v>
      </c>
      <c r="P35" t="s">
        <v>405</v>
      </c>
      <c r="Q35">
        <v>1</v>
      </c>
      <c r="X35">
        <v>0.31</v>
      </c>
      <c r="Y35">
        <v>785.72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28</v>
      </c>
      <c r="AG35">
        <v>1.24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ROW(Source!A122)</f>
        <v>122</v>
      </c>
      <c r="B36">
        <v>1473081915</v>
      </c>
      <c r="C36">
        <v>1473081912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391</v>
      </c>
      <c r="J36" t="s">
        <v>3</v>
      </c>
      <c r="K36" t="s">
        <v>392</v>
      </c>
      <c r="L36">
        <v>1191</v>
      </c>
      <c r="N36">
        <v>1013</v>
      </c>
      <c r="O36" t="s">
        <v>393</v>
      </c>
      <c r="P36" t="s">
        <v>393</v>
      </c>
      <c r="Q36">
        <v>1</v>
      </c>
      <c r="X36">
        <v>28.02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28.02</v>
      </c>
      <c r="AH36">
        <v>2</v>
      </c>
      <c r="AI36">
        <v>1473081913</v>
      </c>
      <c r="AJ36">
        <v>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ROW(Source!A122)</f>
        <v>122</v>
      </c>
      <c r="B37">
        <v>1473081916</v>
      </c>
      <c r="C37">
        <v>1473081912</v>
      </c>
      <c r="D37">
        <v>1441834443</v>
      </c>
      <c r="E37">
        <v>1</v>
      </c>
      <c r="F37">
        <v>1</v>
      </c>
      <c r="G37">
        <v>15514512</v>
      </c>
      <c r="H37">
        <v>3</v>
      </c>
      <c r="I37" t="s">
        <v>402</v>
      </c>
      <c r="J37" t="s">
        <v>403</v>
      </c>
      <c r="K37" t="s">
        <v>404</v>
      </c>
      <c r="L37">
        <v>1296</v>
      </c>
      <c r="N37">
        <v>1002</v>
      </c>
      <c r="O37" t="s">
        <v>405</v>
      </c>
      <c r="P37" t="s">
        <v>405</v>
      </c>
      <c r="Q37">
        <v>1</v>
      </c>
      <c r="X37">
        <v>0.31</v>
      </c>
      <c r="Y37">
        <v>785.72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0.31</v>
      </c>
      <c r="AH37">
        <v>2</v>
      </c>
      <c r="AI37">
        <v>1473081914</v>
      </c>
      <c r="AJ37">
        <v>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ROW(Source!A158)</f>
        <v>158</v>
      </c>
      <c r="B38">
        <v>1473081918</v>
      </c>
      <c r="C38">
        <v>1473081917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391</v>
      </c>
      <c r="J38" t="s">
        <v>3</v>
      </c>
      <c r="K38" t="s">
        <v>392</v>
      </c>
      <c r="L38">
        <v>1191</v>
      </c>
      <c r="N38">
        <v>1013</v>
      </c>
      <c r="O38" t="s">
        <v>393</v>
      </c>
      <c r="P38" t="s">
        <v>393</v>
      </c>
      <c r="Q38">
        <v>1</v>
      </c>
      <c r="X38">
        <v>29.54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29.54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ROW(Source!A158)</f>
        <v>158</v>
      </c>
      <c r="B39">
        <v>1473081919</v>
      </c>
      <c r="C39">
        <v>1473081917</v>
      </c>
      <c r="D39">
        <v>1441835469</v>
      </c>
      <c r="E39">
        <v>1</v>
      </c>
      <c r="F39">
        <v>1</v>
      </c>
      <c r="G39">
        <v>15514512</v>
      </c>
      <c r="H39">
        <v>3</v>
      </c>
      <c r="I39" t="s">
        <v>468</v>
      </c>
      <c r="J39" t="s">
        <v>469</v>
      </c>
      <c r="K39" t="s">
        <v>470</v>
      </c>
      <c r="L39">
        <v>1348</v>
      </c>
      <c r="N39">
        <v>1009</v>
      </c>
      <c r="O39" t="s">
        <v>412</v>
      </c>
      <c r="P39" t="s">
        <v>412</v>
      </c>
      <c r="Q39">
        <v>1000</v>
      </c>
      <c r="X39">
        <v>5.0000000000000001E-3</v>
      </c>
      <c r="Y39">
        <v>163237.26999999999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5.0000000000000001E-3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ROW(Source!A158)</f>
        <v>158</v>
      </c>
      <c r="B40">
        <v>1473081920</v>
      </c>
      <c r="C40">
        <v>1473081917</v>
      </c>
      <c r="D40">
        <v>1441836514</v>
      </c>
      <c r="E40">
        <v>1</v>
      </c>
      <c r="F40">
        <v>1</v>
      </c>
      <c r="G40">
        <v>15514512</v>
      </c>
      <c r="H40">
        <v>3</v>
      </c>
      <c r="I40" t="s">
        <v>471</v>
      </c>
      <c r="J40" t="s">
        <v>472</v>
      </c>
      <c r="K40" t="s">
        <v>473</v>
      </c>
      <c r="L40">
        <v>1339</v>
      </c>
      <c r="N40">
        <v>1007</v>
      </c>
      <c r="O40" t="s">
        <v>434</v>
      </c>
      <c r="P40" t="s">
        <v>434</v>
      </c>
      <c r="Q40">
        <v>1</v>
      </c>
      <c r="X40">
        <v>7.8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7.8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ROW(Source!A158)</f>
        <v>158</v>
      </c>
      <c r="B41">
        <v>1473081921</v>
      </c>
      <c r="C41">
        <v>1473081917</v>
      </c>
      <c r="D41">
        <v>1441847238</v>
      </c>
      <c r="E41">
        <v>1</v>
      </c>
      <c r="F41">
        <v>1</v>
      </c>
      <c r="G41">
        <v>15514512</v>
      </c>
      <c r="H41">
        <v>3</v>
      </c>
      <c r="I41" t="s">
        <v>474</v>
      </c>
      <c r="J41" t="s">
        <v>475</v>
      </c>
      <c r="K41" t="s">
        <v>476</v>
      </c>
      <c r="L41">
        <v>1346</v>
      </c>
      <c r="N41">
        <v>1009</v>
      </c>
      <c r="O41" t="s">
        <v>401</v>
      </c>
      <c r="P41" t="s">
        <v>401</v>
      </c>
      <c r="Q41">
        <v>1</v>
      </c>
      <c r="X41">
        <v>2</v>
      </c>
      <c r="Y41">
        <v>742.26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ROW(Source!A159)</f>
        <v>159</v>
      </c>
      <c r="B42">
        <v>1473081923</v>
      </c>
      <c r="C42">
        <v>1473081922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391</v>
      </c>
      <c r="J42" t="s">
        <v>3</v>
      </c>
      <c r="K42" t="s">
        <v>392</v>
      </c>
      <c r="L42">
        <v>1191</v>
      </c>
      <c r="N42">
        <v>1013</v>
      </c>
      <c r="O42" t="s">
        <v>393</v>
      </c>
      <c r="P42" t="s">
        <v>393</v>
      </c>
      <c r="Q42">
        <v>1</v>
      </c>
      <c r="X42">
        <v>0.9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28</v>
      </c>
      <c r="AG42">
        <v>3.6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ROW(Source!A160)</f>
        <v>160</v>
      </c>
      <c r="B43">
        <v>1473081926</v>
      </c>
      <c r="C43">
        <v>1473081924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391</v>
      </c>
      <c r="J43" t="s">
        <v>3</v>
      </c>
      <c r="K43" t="s">
        <v>392</v>
      </c>
      <c r="L43">
        <v>1191</v>
      </c>
      <c r="N43">
        <v>1013</v>
      </c>
      <c r="O43" t="s">
        <v>393</v>
      </c>
      <c r="P43" t="s">
        <v>393</v>
      </c>
      <c r="Q43">
        <v>1</v>
      </c>
      <c r="X43">
        <v>0.73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104</v>
      </c>
      <c r="AG43">
        <v>2.92</v>
      </c>
      <c r="AH43">
        <v>2</v>
      </c>
      <c r="AI43">
        <v>1473081925</v>
      </c>
      <c r="AJ43">
        <v>8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ROW(Source!A196)</f>
        <v>196</v>
      </c>
      <c r="B44">
        <v>1473081928</v>
      </c>
      <c r="C44">
        <v>1473081927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391</v>
      </c>
      <c r="J44" t="s">
        <v>3</v>
      </c>
      <c r="K44" t="s">
        <v>392</v>
      </c>
      <c r="L44">
        <v>1191</v>
      </c>
      <c r="N44">
        <v>1013</v>
      </c>
      <c r="O44" t="s">
        <v>393</v>
      </c>
      <c r="P44" t="s">
        <v>393</v>
      </c>
      <c r="Q44">
        <v>1</v>
      </c>
      <c r="X44">
        <v>0.9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28</v>
      </c>
      <c r="AG44">
        <v>3.6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ROW(Source!A197)</f>
        <v>197</v>
      </c>
      <c r="B45">
        <v>1473081931</v>
      </c>
      <c r="C45">
        <v>1473081929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391</v>
      </c>
      <c r="J45" t="s">
        <v>3</v>
      </c>
      <c r="K45" t="s">
        <v>392</v>
      </c>
      <c r="L45">
        <v>1191</v>
      </c>
      <c r="N45">
        <v>1013</v>
      </c>
      <c r="O45" t="s">
        <v>393</v>
      </c>
      <c r="P45" t="s">
        <v>393</v>
      </c>
      <c r="Q45">
        <v>1</v>
      </c>
      <c r="X45">
        <v>0.73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104</v>
      </c>
      <c r="AG45">
        <v>2.92</v>
      </c>
      <c r="AH45">
        <v>2</v>
      </c>
      <c r="AI45">
        <v>1473081930</v>
      </c>
      <c r="AJ45">
        <v>9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ROW(Source!A233)</f>
        <v>233</v>
      </c>
      <c r="B46">
        <v>1473081934</v>
      </c>
      <c r="C46">
        <v>1473081932</v>
      </c>
      <c r="D46">
        <v>1441819193</v>
      </c>
      <c r="E46">
        <v>15514512</v>
      </c>
      <c r="F46">
        <v>1</v>
      </c>
      <c r="G46">
        <v>15514512</v>
      </c>
      <c r="H46">
        <v>1</v>
      </c>
      <c r="I46" t="s">
        <v>391</v>
      </c>
      <c r="J46" t="s">
        <v>3</v>
      </c>
      <c r="K46" t="s">
        <v>392</v>
      </c>
      <c r="L46">
        <v>1191</v>
      </c>
      <c r="N46">
        <v>1013</v>
      </c>
      <c r="O46" t="s">
        <v>393</v>
      </c>
      <c r="P46" t="s">
        <v>393</v>
      </c>
      <c r="Q46">
        <v>1</v>
      </c>
      <c r="X46">
        <v>0.78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28</v>
      </c>
      <c r="AG46">
        <v>3.12</v>
      </c>
      <c r="AH46">
        <v>2</v>
      </c>
      <c r="AI46">
        <v>1473081933</v>
      </c>
      <c r="AJ46">
        <v>10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ROW(Source!A269)</f>
        <v>269</v>
      </c>
      <c r="B47">
        <v>1473081936</v>
      </c>
      <c r="C47">
        <v>1473081935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391</v>
      </c>
      <c r="J47" t="s">
        <v>3</v>
      </c>
      <c r="K47" t="s">
        <v>392</v>
      </c>
      <c r="L47">
        <v>1191</v>
      </c>
      <c r="N47">
        <v>1013</v>
      </c>
      <c r="O47" t="s">
        <v>393</v>
      </c>
      <c r="P47" t="s">
        <v>393</v>
      </c>
      <c r="Q47">
        <v>1</v>
      </c>
      <c r="X47">
        <v>29.54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29.54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ROW(Source!A269)</f>
        <v>269</v>
      </c>
      <c r="B48">
        <v>1473081937</v>
      </c>
      <c r="C48">
        <v>1473081935</v>
      </c>
      <c r="D48">
        <v>1441835469</v>
      </c>
      <c r="E48">
        <v>1</v>
      </c>
      <c r="F48">
        <v>1</v>
      </c>
      <c r="G48">
        <v>15514512</v>
      </c>
      <c r="H48">
        <v>3</v>
      </c>
      <c r="I48" t="s">
        <v>468</v>
      </c>
      <c r="J48" t="s">
        <v>469</v>
      </c>
      <c r="K48" t="s">
        <v>470</v>
      </c>
      <c r="L48">
        <v>1348</v>
      </c>
      <c r="N48">
        <v>1009</v>
      </c>
      <c r="O48" t="s">
        <v>412</v>
      </c>
      <c r="P48" t="s">
        <v>412</v>
      </c>
      <c r="Q48">
        <v>1000</v>
      </c>
      <c r="X48">
        <v>5.0000000000000001E-3</v>
      </c>
      <c r="Y48">
        <v>163237.26999999999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5.0000000000000001E-3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ROW(Source!A269)</f>
        <v>269</v>
      </c>
      <c r="B49">
        <v>1473081938</v>
      </c>
      <c r="C49">
        <v>1473081935</v>
      </c>
      <c r="D49">
        <v>1441836514</v>
      </c>
      <c r="E49">
        <v>1</v>
      </c>
      <c r="F49">
        <v>1</v>
      </c>
      <c r="G49">
        <v>15514512</v>
      </c>
      <c r="H49">
        <v>3</v>
      </c>
      <c r="I49" t="s">
        <v>471</v>
      </c>
      <c r="J49" t="s">
        <v>472</v>
      </c>
      <c r="K49" t="s">
        <v>473</v>
      </c>
      <c r="L49">
        <v>1339</v>
      </c>
      <c r="N49">
        <v>1007</v>
      </c>
      <c r="O49" t="s">
        <v>434</v>
      </c>
      <c r="P49" t="s">
        <v>434</v>
      </c>
      <c r="Q49">
        <v>1</v>
      </c>
      <c r="X49">
        <v>7.8</v>
      </c>
      <c r="Y49">
        <v>54.81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7.8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ROW(Source!A269)</f>
        <v>269</v>
      </c>
      <c r="B50">
        <v>1473081939</v>
      </c>
      <c r="C50">
        <v>1473081935</v>
      </c>
      <c r="D50">
        <v>1441847238</v>
      </c>
      <c r="E50">
        <v>1</v>
      </c>
      <c r="F50">
        <v>1</v>
      </c>
      <c r="G50">
        <v>15514512</v>
      </c>
      <c r="H50">
        <v>3</v>
      </c>
      <c r="I50" t="s">
        <v>474</v>
      </c>
      <c r="J50" t="s">
        <v>475</v>
      </c>
      <c r="K50" t="s">
        <v>476</v>
      </c>
      <c r="L50">
        <v>1346</v>
      </c>
      <c r="N50">
        <v>1009</v>
      </c>
      <c r="O50" t="s">
        <v>401</v>
      </c>
      <c r="P50" t="s">
        <v>401</v>
      </c>
      <c r="Q50">
        <v>1</v>
      </c>
      <c r="X50">
        <v>2</v>
      </c>
      <c r="Y50">
        <v>742.26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2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ROW(Source!A270)</f>
        <v>270</v>
      </c>
      <c r="B51">
        <v>1473081942</v>
      </c>
      <c r="C51">
        <v>1473081940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391</v>
      </c>
      <c r="J51" t="s">
        <v>3</v>
      </c>
      <c r="K51" t="s">
        <v>392</v>
      </c>
      <c r="L51">
        <v>1191</v>
      </c>
      <c r="N51">
        <v>1013</v>
      </c>
      <c r="O51" t="s">
        <v>393</v>
      </c>
      <c r="P51" t="s">
        <v>393</v>
      </c>
      <c r="Q51">
        <v>1</v>
      </c>
      <c r="X51">
        <v>0.78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152</v>
      </c>
      <c r="AG51">
        <v>8.58</v>
      </c>
      <c r="AH51">
        <v>2</v>
      </c>
      <c r="AI51">
        <v>1473081941</v>
      </c>
      <c r="AJ51">
        <v>11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ROW(Source!A271)</f>
        <v>271</v>
      </c>
      <c r="B52">
        <v>1473081944</v>
      </c>
      <c r="C52">
        <v>1473081943</v>
      </c>
      <c r="D52">
        <v>1441819193</v>
      </c>
      <c r="E52">
        <v>15514512</v>
      </c>
      <c r="F52">
        <v>1</v>
      </c>
      <c r="G52">
        <v>15514512</v>
      </c>
      <c r="H52">
        <v>1</v>
      </c>
      <c r="I52" t="s">
        <v>391</v>
      </c>
      <c r="J52" t="s">
        <v>3</v>
      </c>
      <c r="K52" t="s">
        <v>392</v>
      </c>
      <c r="L52">
        <v>1191</v>
      </c>
      <c r="N52">
        <v>1013</v>
      </c>
      <c r="O52" t="s">
        <v>393</v>
      </c>
      <c r="P52" t="s">
        <v>393</v>
      </c>
      <c r="Q52">
        <v>1</v>
      </c>
      <c r="X52">
        <v>0.13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153</v>
      </c>
      <c r="AG52">
        <v>1.56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ROW(Source!A341)</f>
        <v>341</v>
      </c>
      <c r="B53">
        <v>1473081949</v>
      </c>
      <c r="C53">
        <v>1473081945</v>
      </c>
      <c r="D53">
        <v>1441819193</v>
      </c>
      <c r="E53">
        <v>15514512</v>
      </c>
      <c r="F53">
        <v>1</v>
      </c>
      <c r="G53">
        <v>15514512</v>
      </c>
      <c r="H53">
        <v>1</v>
      </c>
      <c r="I53" t="s">
        <v>391</v>
      </c>
      <c r="J53" t="s">
        <v>3</v>
      </c>
      <c r="K53" t="s">
        <v>392</v>
      </c>
      <c r="L53">
        <v>1191</v>
      </c>
      <c r="N53">
        <v>1013</v>
      </c>
      <c r="O53" t="s">
        <v>393</v>
      </c>
      <c r="P53" t="s">
        <v>393</v>
      </c>
      <c r="Q53">
        <v>1</v>
      </c>
      <c r="X53">
        <v>0.14000000000000001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0.14000000000000001</v>
      </c>
      <c r="AH53">
        <v>2</v>
      </c>
      <c r="AI53">
        <v>1473081946</v>
      </c>
      <c r="AJ53">
        <v>12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ROW(Source!A341)</f>
        <v>341</v>
      </c>
      <c r="B54">
        <v>1473081950</v>
      </c>
      <c r="C54">
        <v>1473081945</v>
      </c>
      <c r="D54">
        <v>1441834213</v>
      </c>
      <c r="E54">
        <v>1</v>
      </c>
      <c r="F54">
        <v>1</v>
      </c>
      <c r="G54">
        <v>15514512</v>
      </c>
      <c r="H54">
        <v>2</v>
      </c>
      <c r="I54" t="s">
        <v>406</v>
      </c>
      <c r="J54" t="s">
        <v>407</v>
      </c>
      <c r="K54" t="s">
        <v>408</v>
      </c>
      <c r="L54">
        <v>1368</v>
      </c>
      <c r="N54">
        <v>1011</v>
      </c>
      <c r="O54" t="s">
        <v>397</v>
      </c>
      <c r="P54" t="s">
        <v>397</v>
      </c>
      <c r="Q54">
        <v>1</v>
      </c>
      <c r="X54">
        <v>0.03</v>
      </c>
      <c r="Y54">
        <v>0</v>
      </c>
      <c r="Z54">
        <v>7.68</v>
      </c>
      <c r="AA54">
        <v>0.05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0.03</v>
      </c>
      <c r="AH54">
        <v>2</v>
      </c>
      <c r="AI54">
        <v>1473081947</v>
      </c>
      <c r="AJ54">
        <v>13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ROW(Source!A341)</f>
        <v>341</v>
      </c>
      <c r="B55">
        <v>1473081951</v>
      </c>
      <c r="C55">
        <v>1473081945</v>
      </c>
      <c r="D55">
        <v>1441836235</v>
      </c>
      <c r="E55">
        <v>1</v>
      </c>
      <c r="F55">
        <v>1</v>
      </c>
      <c r="G55">
        <v>15514512</v>
      </c>
      <c r="H55">
        <v>3</v>
      </c>
      <c r="I55" t="s">
        <v>398</v>
      </c>
      <c r="J55" t="s">
        <v>399</v>
      </c>
      <c r="K55" t="s">
        <v>400</v>
      </c>
      <c r="L55">
        <v>1346</v>
      </c>
      <c r="N55">
        <v>1009</v>
      </c>
      <c r="O55" t="s">
        <v>401</v>
      </c>
      <c r="P55" t="s">
        <v>401</v>
      </c>
      <c r="Q55">
        <v>1</v>
      </c>
      <c r="X55">
        <v>7.0000000000000007E-2</v>
      </c>
      <c r="Y55">
        <v>31.49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7.0000000000000007E-2</v>
      </c>
      <c r="AH55">
        <v>2</v>
      </c>
      <c r="AI55">
        <v>1473081948</v>
      </c>
      <c r="AJ55">
        <v>14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ROW(Source!A342)</f>
        <v>342</v>
      </c>
      <c r="B56">
        <v>1473081954</v>
      </c>
      <c r="C56">
        <v>1473081952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391</v>
      </c>
      <c r="J56" t="s">
        <v>3</v>
      </c>
      <c r="K56" t="s">
        <v>392</v>
      </c>
      <c r="L56">
        <v>1191</v>
      </c>
      <c r="N56">
        <v>1013</v>
      </c>
      <c r="O56" t="s">
        <v>393</v>
      </c>
      <c r="P56" t="s">
        <v>393</v>
      </c>
      <c r="Q56">
        <v>1</v>
      </c>
      <c r="X56">
        <v>0.41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163</v>
      </c>
      <c r="AG56">
        <v>1.23</v>
      </c>
      <c r="AH56">
        <v>2</v>
      </c>
      <c r="AI56">
        <v>1473081953</v>
      </c>
      <c r="AJ56">
        <v>15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ROW(Source!A412)</f>
        <v>412</v>
      </c>
      <c r="B57">
        <v>1473081974</v>
      </c>
      <c r="C57">
        <v>1473081955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391</v>
      </c>
      <c r="J57" t="s">
        <v>3</v>
      </c>
      <c r="K57" t="s">
        <v>392</v>
      </c>
      <c r="L57">
        <v>1191</v>
      </c>
      <c r="N57">
        <v>1013</v>
      </c>
      <c r="O57" t="s">
        <v>393</v>
      </c>
      <c r="P57" t="s">
        <v>393</v>
      </c>
      <c r="Q57">
        <v>1</v>
      </c>
      <c r="X57">
        <v>13.13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13.13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ROW(Source!A412)</f>
        <v>412</v>
      </c>
      <c r="B58">
        <v>1473081975</v>
      </c>
      <c r="C58">
        <v>1473081955</v>
      </c>
      <c r="D58">
        <v>1441834138</v>
      </c>
      <c r="E58">
        <v>1</v>
      </c>
      <c r="F58">
        <v>1</v>
      </c>
      <c r="G58">
        <v>15514512</v>
      </c>
      <c r="H58">
        <v>2</v>
      </c>
      <c r="I58" t="s">
        <v>484</v>
      </c>
      <c r="J58" t="s">
        <v>485</v>
      </c>
      <c r="K58" t="s">
        <v>486</v>
      </c>
      <c r="L58">
        <v>1368</v>
      </c>
      <c r="N58">
        <v>1011</v>
      </c>
      <c r="O58" t="s">
        <v>397</v>
      </c>
      <c r="P58" t="s">
        <v>397</v>
      </c>
      <c r="Q58">
        <v>1</v>
      </c>
      <c r="X58">
        <v>1.7</v>
      </c>
      <c r="Y58">
        <v>0</v>
      </c>
      <c r="Z58">
        <v>45.56</v>
      </c>
      <c r="AA58">
        <v>0.57999999999999996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1.7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ROW(Source!A412)</f>
        <v>412</v>
      </c>
      <c r="B59">
        <v>1473081976</v>
      </c>
      <c r="C59">
        <v>1473081955</v>
      </c>
      <c r="D59">
        <v>1441834143</v>
      </c>
      <c r="E59">
        <v>1</v>
      </c>
      <c r="F59">
        <v>1</v>
      </c>
      <c r="G59">
        <v>15514512</v>
      </c>
      <c r="H59">
        <v>2</v>
      </c>
      <c r="I59" t="s">
        <v>487</v>
      </c>
      <c r="J59" t="s">
        <v>488</v>
      </c>
      <c r="K59" t="s">
        <v>489</v>
      </c>
      <c r="L59">
        <v>1368</v>
      </c>
      <c r="N59">
        <v>1011</v>
      </c>
      <c r="O59" t="s">
        <v>397</v>
      </c>
      <c r="P59" t="s">
        <v>397</v>
      </c>
      <c r="Q59">
        <v>1</v>
      </c>
      <c r="X59">
        <v>1.7</v>
      </c>
      <c r="Y59">
        <v>0</v>
      </c>
      <c r="Z59">
        <v>61.25</v>
      </c>
      <c r="AA59">
        <v>3.11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1.7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ROW(Source!A412)</f>
        <v>412</v>
      </c>
      <c r="B60">
        <v>1473081977</v>
      </c>
      <c r="C60">
        <v>1473081955</v>
      </c>
      <c r="D60">
        <v>1441834258</v>
      </c>
      <c r="E60">
        <v>1</v>
      </c>
      <c r="F60">
        <v>1</v>
      </c>
      <c r="G60">
        <v>15514512</v>
      </c>
      <c r="H60">
        <v>2</v>
      </c>
      <c r="I60" t="s">
        <v>394</v>
      </c>
      <c r="J60" t="s">
        <v>395</v>
      </c>
      <c r="K60" t="s">
        <v>396</v>
      </c>
      <c r="L60">
        <v>1368</v>
      </c>
      <c r="N60">
        <v>1011</v>
      </c>
      <c r="O60" t="s">
        <v>397</v>
      </c>
      <c r="P60" t="s">
        <v>397</v>
      </c>
      <c r="Q60">
        <v>1</v>
      </c>
      <c r="X60">
        <v>3.31</v>
      </c>
      <c r="Y60">
        <v>0</v>
      </c>
      <c r="Z60">
        <v>1303.01</v>
      </c>
      <c r="AA60">
        <v>826.2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3.31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ROW(Source!A412)</f>
        <v>412</v>
      </c>
      <c r="B61">
        <v>1473081978</v>
      </c>
      <c r="C61">
        <v>1473081955</v>
      </c>
      <c r="D61">
        <v>1441834334</v>
      </c>
      <c r="E61">
        <v>1</v>
      </c>
      <c r="F61">
        <v>1</v>
      </c>
      <c r="G61">
        <v>15514512</v>
      </c>
      <c r="H61">
        <v>2</v>
      </c>
      <c r="I61" t="s">
        <v>477</v>
      </c>
      <c r="J61" t="s">
        <v>478</v>
      </c>
      <c r="K61" t="s">
        <v>479</v>
      </c>
      <c r="L61">
        <v>1368</v>
      </c>
      <c r="N61">
        <v>1011</v>
      </c>
      <c r="O61" t="s">
        <v>397</v>
      </c>
      <c r="P61" t="s">
        <v>397</v>
      </c>
      <c r="Q61">
        <v>1</v>
      </c>
      <c r="X61">
        <v>0.4</v>
      </c>
      <c r="Y61">
        <v>0</v>
      </c>
      <c r="Z61">
        <v>10.66</v>
      </c>
      <c r="AA61">
        <v>0.12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0.4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ROW(Source!A412)</f>
        <v>412</v>
      </c>
      <c r="B62">
        <v>1473081979</v>
      </c>
      <c r="C62">
        <v>1473081955</v>
      </c>
      <c r="D62">
        <v>1441836235</v>
      </c>
      <c r="E62">
        <v>1</v>
      </c>
      <c r="F62">
        <v>1</v>
      </c>
      <c r="G62">
        <v>15514512</v>
      </c>
      <c r="H62">
        <v>3</v>
      </c>
      <c r="I62" t="s">
        <v>398</v>
      </c>
      <c r="J62" t="s">
        <v>399</v>
      </c>
      <c r="K62" t="s">
        <v>400</v>
      </c>
      <c r="L62">
        <v>1346</v>
      </c>
      <c r="N62">
        <v>1009</v>
      </c>
      <c r="O62" t="s">
        <v>401</v>
      </c>
      <c r="P62" t="s">
        <v>401</v>
      </c>
      <c r="Q62">
        <v>1</v>
      </c>
      <c r="X62">
        <v>0.15</v>
      </c>
      <c r="Y62">
        <v>31.49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0.15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ROW(Source!A413)</f>
        <v>413</v>
      </c>
      <c r="B63">
        <v>1473081996</v>
      </c>
      <c r="C63">
        <v>1473081980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391</v>
      </c>
      <c r="J63" t="s">
        <v>3</v>
      </c>
      <c r="K63" t="s">
        <v>392</v>
      </c>
      <c r="L63">
        <v>1191</v>
      </c>
      <c r="N63">
        <v>1013</v>
      </c>
      <c r="O63" t="s">
        <v>393</v>
      </c>
      <c r="P63" t="s">
        <v>393</v>
      </c>
      <c r="Q63">
        <v>1</v>
      </c>
      <c r="X63">
        <v>2.1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2.1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ROW(Source!A413)</f>
        <v>413</v>
      </c>
      <c r="B64">
        <v>1473081997</v>
      </c>
      <c r="C64">
        <v>1473081980</v>
      </c>
      <c r="D64">
        <v>1441834139</v>
      </c>
      <c r="E64">
        <v>1</v>
      </c>
      <c r="F64">
        <v>1</v>
      </c>
      <c r="G64">
        <v>15514512</v>
      </c>
      <c r="H64">
        <v>2</v>
      </c>
      <c r="I64" t="s">
        <v>490</v>
      </c>
      <c r="J64" t="s">
        <v>491</v>
      </c>
      <c r="K64" t="s">
        <v>492</v>
      </c>
      <c r="L64">
        <v>1368</v>
      </c>
      <c r="N64">
        <v>1011</v>
      </c>
      <c r="O64" t="s">
        <v>397</v>
      </c>
      <c r="P64" t="s">
        <v>397</v>
      </c>
      <c r="Q64">
        <v>1</v>
      </c>
      <c r="X64">
        <v>0.3</v>
      </c>
      <c r="Y64">
        <v>0</v>
      </c>
      <c r="Z64">
        <v>8.82</v>
      </c>
      <c r="AA64">
        <v>0.11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0.3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ROW(Source!A413)</f>
        <v>413</v>
      </c>
      <c r="B65">
        <v>1473081998</v>
      </c>
      <c r="C65">
        <v>1473081980</v>
      </c>
      <c r="D65">
        <v>1441834258</v>
      </c>
      <c r="E65">
        <v>1</v>
      </c>
      <c r="F65">
        <v>1</v>
      </c>
      <c r="G65">
        <v>15514512</v>
      </c>
      <c r="H65">
        <v>2</v>
      </c>
      <c r="I65" t="s">
        <v>394</v>
      </c>
      <c r="J65" t="s">
        <v>395</v>
      </c>
      <c r="K65" t="s">
        <v>396</v>
      </c>
      <c r="L65">
        <v>1368</v>
      </c>
      <c r="N65">
        <v>1011</v>
      </c>
      <c r="O65" t="s">
        <v>397</v>
      </c>
      <c r="P65" t="s">
        <v>397</v>
      </c>
      <c r="Q65">
        <v>1</v>
      </c>
      <c r="X65">
        <v>0.52</v>
      </c>
      <c r="Y65">
        <v>0</v>
      </c>
      <c r="Z65">
        <v>1303.01</v>
      </c>
      <c r="AA65">
        <v>826.2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0.52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ROW(Source!A413)</f>
        <v>413</v>
      </c>
      <c r="B66">
        <v>1473081999</v>
      </c>
      <c r="C66">
        <v>1473081980</v>
      </c>
      <c r="D66">
        <v>1441836393</v>
      </c>
      <c r="E66">
        <v>1</v>
      </c>
      <c r="F66">
        <v>1</v>
      </c>
      <c r="G66">
        <v>15514512</v>
      </c>
      <c r="H66">
        <v>3</v>
      </c>
      <c r="I66" t="s">
        <v>493</v>
      </c>
      <c r="J66" t="s">
        <v>494</v>
      </c>
      <c r="K66" t="s">
        <v>495</v>
      </c>
      <c r="L66">
        <v>1296</v>
      </c>
      <c r="N66">
        <v>1002</v>
      </c>
      <c r="O66" t="s">
        <v>405</v>
      </c>
      <c r="P66" t="s">
        <v>405</v>
      </c>
      <c r="Q66">
        <v>1</v>
      </c>
      <c r="X66">
        <v>3.8E-3</v>
      </c>
      <c r="Y66">
        <v>4241.6400000000003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3.8E-3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ROW(Source!A413)</f>
        <v>413</v>
      </c>
      <c r="B67">
        <v>1473082000</v>
      </c>
      <c r="C67">
        <v>1473081980</v>
      </c>
      <c r="D67">
        <v>1441836514</v>
      </c>
      <c r="E67">
        <v>1</v>
      </c>
      <c r="F67">
        <v>1</v>
      </c>
      <c r="G67">
        <v>15514512</v>
      </c>
      <c r="H67">
        <v>3</v>
      </c>
      <c r="I67" t="s">
        <v>471</v>
      </c>
      <c r="J67" t="s">
        <v>472</v>
      </c>
      <c r="K67" t="s">
        <v>473</v>
      </c>
      <c r="L67">
        <v>1339</v>
      </c>
      <c r="N67">
        <v>1007</v>
      </c>
      <c r="O67" t="s">
        <v>434</v>
      </c>
      <c r="P67" t="s">
        <v>434</v>
      </c>
      <c r="Q67">
        <v>1</v>
      </c>
      <c r="X67">
        <v>3.8E-3</v>
      </c>
      <c r="Y67">
        <v>54.81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3.8E-3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ROW(Source!A414)</f>
        <v>414</v>
      </c>
      <c r="B68">
        <v>1473082008</v>
      </c>
      <c r="C68">
        <v>1473082001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391</v>
      </c>
      <c r="J68" t="s">
        <v>3</v>
      </c>
      <c r="K68" t="s">
        <v>392</v>
      </c>
      <c r="L68">
        <v>1191</v>
      </c>
      <c r="N68">
        <v>1013</v>
      </c>
      <c r="O68" t="s">
        <v>393</v>
      </c>
      <c r="P68" t="s">
        <v>393</v>
      </c>
      <c r="Q68">
        <v>1</v>
      </c>
      <c r="X68">
        <v>12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12</v>
      </c>
      <c r="AH68">
        <v>2</v>
      </c>
      <c r="AI68">
        <v>1473082002</v>
      </c>
      <c r="AJ68">
        <v>16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ROW(Source!A414)</f>
        <v>414</v>
      </c>
      <c r="B69">
        <v>1473082009</v>
      </c>
      <c r="C69">
        <v>1473082001</v>
      </c>
      <c r="D69">
        <v>1441835475</v>
      </c>
      <c r="E69">
        <v>1</v>
      </c>
      <c r="F69">
        <v>1</v>
      </c>
      <c r="G69">
        <v>15514512</v>
      </c>
      <c r="H69">
        <v>3</v>
      </c>
      <c r="I69" t="s">
        <v>409</v>
      </c>
      <c r="J69" t="s">
        <v>410</v>
      </c>
      <c r="K69" t="s">
        <v>411</v>
      </c>
      <c r="L69">
        <v>1348</v>
      </c>
      <c r="N69">
        <v>1009</v>
      </c>
      <c r="O69" t="s">
        <v>412</v>
      </c>
      <c r="P69" t="s">
        <v>412</v>
      </c>
      <c r="Q69">
        <v>1000</v>
      </c>
      <c r="X69">
        <v>2.0000000000000001E-4</v>
      </c>
      <c r="Y69">
        <v>155908.07999999999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2.0000000000000001E-4</v>
      </c>
      <c r="AH69">
        <v>2</v>
      </c>
      <c r="AI69">
        <v>1473082003</v>
      </c>
      <c r="AJ69">
        <v>17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ROW(Source!A414)</f>
        <v>414</v>
      </c>
      <c r="B70">
        <v>1473082010</v>
      </c>
      <c r="C70">
        <v>1473082001</v>
      </c>
      <c r="D70">
        <v>1441834671</v>
      </c>
      <c r="E70">
        <v>1</v>
      </c>
      <c r="F70">
        <v>1</v>
      </c>
      <c r="G70">
        <v>15514512</v>
      </c>
      <c r="H70">
        <v>3</v>
      </c>
      <c r="I70" t="s">
        <v>413</v>
      </c>
      <c r="J70" t="s">
        <v>414</v>
      </c>
      <c r="K70" t="s">
        <v>415</v>
      </c>
      <c r="L70">
        <v>1348</v>
      </c>
      <c r="N70">
        <v>1009</v>
      </c>
      <c r="O70" t="s">
        <v>412</v>
      </c>
      <c r="P70" t="s">
        <v>412</v>
      </c>
      <c r="Q70">
        <v>1000</v>
      </c>
      <c r="X70">
        <v>1E-4</v>
      </c>
      <c r="Y70">
        <v>184462.17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1E-4</v>
      </c>
      <c r="AH70">
        <v>2</v>
      </c>
      <c r="AI70">
        <v>1473082004</v>
      </c>
      <c r="AJ70">
        <v>18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ROW(Source!A414)</f>
        <v>414</v>
      </c>
      <c r="B71">
        <v>1473082011</v>
      </c>
      <c r="C71">
        <v>1473082001</v>
      </c>
      <c r="D71">
        <v>1441834634</v>
      </c>
      <c r="E71">
        <v>1</v>
      </c>
      <c r="F71">
        <v>1</v>
      </c>
      <c r="G71">
        <v>15514512</v>
      </c>
      <c r="H71">
        <v>3</v>
      </c>
      <c r="I71" t="s">
        <v>416</v>
      </c>
      <c r="J71" t="s">
        <v>417</v>
      </c>
      <c r="K71" t="s">
        <v>418</v>
      </c>
      <c r="L71">
        <v>1348</v>
      </c>
      <c r="N71">
        <v>1009</v>
      </c>
      <c r="O71" t="s">
        <v>412</v>
      </c>
      <c r="P71" t="s">
        <v>412</v>
      </c>
      <c r="Q71">
        <v>1000</v>
      </c>
      <c r="X71">
        <v>5.9999999999999995E-4</v>
      </c>
      <c r="Y71">
        <v>88053.759999999995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5.9999999999999995E-4</v>
      </c>
      <c r="AH71">
        <v>2</v>
      </c>
      <c r="AI71">
        <v>1473082005</v>
      </c>
      <c r="AJ71">
        <v>19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ROW(Source!A414)</f>
        <v>414</v>
      </c>
      <c r="B72">
        <v>1473082012</v>
      </c>
      <c r="C72">
        <v>1473082001</v>
      </c>
      <c r="D72">
        <v>1441834836</v>
      </c>
      <c r="E72">
        <v>1</v>
      </c>
      <c r="F72">
        <v>1</v>
      </c>
      <c r="G72">
        <v>15514512</v>
      </c>
      <c r="H72">
        <v>3</v>
      </c>
      <c r="I72" t="s">
        <v>419</v>
      </c>
      <c r="J72" t="s">
        <v>420</v>
      </c>
      <c r="K72" t="s">
        <v>421</v>
      </c>
      <c r="L72">
        <v>1348</v>
      </c>
      <c r="N72">
        <v>1009</v>
      </c>
      <c r="O72" t="s">
        <v>412</v>
      </c>
      <c r="P72" t="s">
        <v>412</v>
      </c>
      <c r="Q72">
        <v>1000</v>
      </c>
      <c r="X72">
        <v>1.08E-3</v>
      </c>
      <c r="Y72">
        <v>93194.67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1.08E-3</v>
      </c>
      <c r="AH72">
        <v>2</v>
      </c>
      <c r="AI72">
        <v>1473082006</v>
      </c>
      <c r="AJ72">
        <v>20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ROW(Source!A414)</f>
        <v>414</v>
      </c>
      <c r="B73">
        <v>1473082013</v>
      </c>
      <c r="C73">
        <v>1473082001</v>
      </c>
      <c r="D73">
        <v>1441822273</v>
      </c>
      <c r="E73">
        <v>15514512</v>
      </c>
      <c r="F73">
        <v>1</v>
      </c>
      <c r="G73">
        <v>15514512</v>
      </c>
      <c r="H73">
        <v>3</v>
      </c>
      <c r="I73" t="s">
        <v>422</v>
      </c>
      <c r="J73" t="s">
        <v>3</v>
      </c>
      <c r="K73" t="s">
        <v>423</v>
      </c>
      <c r="L73">
        <v>1348</v>
      </c>
      <c r="N73">
        <v>1009</v>
      </c>
      <c r="O73" t="s">
        <v>412</v>
      </c>
      <c r="P73" t="s">
        <v>412</v>
      </c>
      <c r="Q73">
        <v>1000</v>
      </c>
      <c r="X73">
        <v>1.2E-4</v>
      </c>
      <c r="Y73">
        <v>94640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1.2E-4</v>
      </c>
      <c r="AH73">
        <v>2</v>
      </c>
      <c r="AI73">
        <v>1473082007</v>
      </c>
      <c r="AJ73">
        <v>21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ROW(Source!A415)</f>
        <v>415</v>
      </c>
      <c r="B74">
        <v>1473097310</v>
      </c>
      <c r="C74">
        <v>1473097309</v>
      </c>
      <c r="D74">
        <v>1441819193</v>
      </c>
      <c r="E74">
        <v>15514512</v>
      </c>
      <c r="F74">
        <v>1</v>
      </c>
      <c r="G74">
        <v>15514512</v>
      </c>
      <c r="H74">
        <v>1</v>
      </c>
      <c r="I74" t="s">
        <v>391</v>
      </c>
      <c r="J74" t="s">
        <v>3</v>
      </c>
      <c r="K74" t="s">
        <v>392</v>
      </c>
      <c r="L74">
        <v>1191</v>
      </c>
      <c r="N74">
        <v>1013</v>
      </c>
      <c r="O74" t="s">
        <v>393</v>
      </c>
      <c r="P74" t="s">
        <v>393</v>
      </c>
      <c r="Q74">
        <v>1</v>
      </c>
      <c r="X74">
        <v>2.38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181</v>
      </c>
      <c r="AG74">
        <v>4.76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ROW(Source!A415)</f>
        <v>415</v>
      </c>
      <c r="B75">
        <v>1473097311</v>
      </c>
      <c r="C75">
        <v>1473097309</v>
      </c>
      <c r="D75">
        <v>1441836235</v>
      </c>
      <c r="E75">
        <v>1</v>
      </c>
      <c r="F75">
        <v>1</v>
      </c>
      <c r="G75">
        <v>15514512</v>
      </c>
      <c r="H75">
        <v>3</v>
      </c>
      <c r="I75" t="s">
        <v>398</v>
      </c>
      <c r="J75" t="s">
        <v>399</v>
      </c>
      <c r="K75" t="s">
        <v>400</v>
      </c>
      <c r="L75">
        <v>1346</v>
      </c>
      <c r="N75">
        <v>1009</v>
      </c>
      <c r="O75" t="s">
        <v>401</v>
      </c>
      <c r="P75" t="s">
        <v>401</v>
      </c>
      <c r="Q75">
        <v>1</v>
      </c>
      <c r="X75">
        <v>1E-3</v>
      </c>
      <c r="Y75">
        <v>31.49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181</v>
      </c>
      <c r="AG75">
        <v>2E-3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ROW(Source!A416)</f>
        <v>416</v>
      </c>
      <c r="B76">
        <v>1473097313</v>
      </c>
      <c r="C76">
        <v>1473097312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391</v>
      </c>
      <c r="J76" t="s">
        <v>3</v>
      </c>
      <c r="K76" t="s">
        <v>392</v>
      </c>
      <c r="L76">
        <v>1191</v>
      </c>
      <c r="N76">
        <v>1013</v>
      </c>
      <c r="O76" t="s">
        <v>393</v>
      </c>
      <c r="P76" t="s">
        <v>393</v>
      </c>
      <c r="Q76">
        <v>1</v>
      </c>
      <c r="X76">
        <v>1.1000000000000001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181</v>
      </c>
      <c r="AG76">
        <v>2.2000000000000002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ROW(Source!A416)</f>
        <v>416</v>
      </c>
      <c r="B77">
        <v>1473097314</v>
      </c>
      <c r="C77">
        <v>1473097312</v>
      </c>
      <c r="D77">
        <v>1441836235</v>
      </c>
      <c r="E77">
        <v>1</v>
      </c>
      <c r="F77">
        <v>1</v>
      </c>
      <c r="G77">
        <v>15514512</v>
      </c>
      <c r="H77">
        <v>3</v>
      </c>
      <c r="I77" t="s">
        <v>398</v>
      </c>
      <c r="J77" t="s">
        <v>399</v>
      </c>
      <c r="K77" t="s">
        <v>400</v>
      </c>
      <c r="L77">
        <v>1346</v>
      </c>
      <c r="N77">
        <v>1009</v>
      </c>
      <c r="O77" t="s">
        <v>401</v>
      </c>
      <c r="P77" t="s">
        <v>401</v>
      </c>
      <c r="Q77">
        <v>1</v>
      </c>
      <c r="X77">
        <v>1.1999999999999999E-3</v>
      </c>
      <c r="Y77">
        <v>31.49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181</v>
      </c>
      <c r="AG77">
        <v>2.3999999999999998E-3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ROW(Source!A417)</f>
        <v>417</v>
      </c>
      <c r="B78">
        <v>1473082025</v>
      </c>
      <c r="C78">
        <v>1473082014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391</v>
      </c>
      <c r="J78" t="s">
        <v>3</v>
      </c>
      <c r="K78" t="s">
        <v>392</v>
      </c>
      <c r="L78">
        <v>1191</v>
      </c>
      <c r="N78">
        <v>1013</v>
      </c>
      <c r="O78" t="s">
        <v>393</v>
      </c>
      <c r="P78" t="s">
        <v>393</v>
      </c>
      <c r="Q78">
        <v>1</v>
      </c>
      <c r="X78">
        <v>36.1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36.1</v>
      </c>
      <c r="AH78">
        <v>2</v>
      </c>
      <c r="AI78">
        <v>1473082015</v>
      </c>
      <c r="AJ78">
        <v>22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ROW(Source!A417)</f>
        <v>417</v>
      </c>
      <c r="B79">
        <v>1473082026</v>
      </c>
      <c r="C79">
        <v>1473082014</v>
      </c>
      <c r="D79">
        <v>1441835475</v>
      </c>
      <c r="E79">
        <v>1</v>
      </c>
      <c r="F79">
        <v>1</v>
      </c>
      <c r="G79">
        <v>15514512</v>
      </c>
      <c r="H79">
        <v>3</v>
      </c>
      <c r="I79" t="s">
        <v>409</v>
      </c>
      <c r="J79" t="s">
        <v>410</v>
      </c>
      <c r="K79" t="s">
        <v>411</v>
      </c>
      <c r="L79">
        <v>1348</v>
      </c>
      <c r="N79">
        <v>1009</v>
      </c>
      <c r="O79" t="s">
        <v>412</v>
      </c>
      <c r="P79" t="s">
        <v>412</v>
      </c>
      <c r="Q79">
        <v>1000</v>
      </c>
      <c r="X79">
        <v>2.9999999999999997E-4</v>
      </c>
      <c r="Y79">
        <v>155908.07999999999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2.9999999999999997E-4</v>
      </c>
      <c r="AH79">
        <v>2</v>
      </c>
      <c r="AI79">
        <v>1473082016</v>
      </c>
      <c r="AJ79">
        <v>23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ROW(Source!A417)</f>
        <v>417</v>
      </c>
      <c r="B80">
        <v>1473082027</v>
      </c>
      <c r="C80">
        <v>1473082014</v>
      </c>
      <c r="D80">
        <v>1441835549</v>
      </c>
      <c r="E80">
        <v>1</v>
      </c>
      <c r="F80">
        <v>1</v>
      </c>
      <c r="G80">
        <v>15514512</v>
      </c>
      <c r="H80">
        <v>3</v>
      </c>
      <c r="I80" t="s">
        <v>424</v>
      </c>
      <c r="J80" t="s">
        <v>425</v>
      </c>
      <c r="K80" t="s">
        <v>426</v>
      </c>
      <c r="L80">
        <v>1348</v>
      </c>
      <c r="N80">
        <v>1009</v>
      </c>
      <c r="O80" t="s">
        <v>412</v>
      </c>
      <c r="P80" t="s">
        <v>412</v>
      </c>
      <c r="Q80">
        <v>1000</v>
      </c>
      <c r="X80">
        <v>1E-4</v>
      </c>
      <c r="Y80">
        <v>194655.19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1E-4</v>
      </c>
      <c r="AH80">
        <v>2</v>
      </c>
      <c r="AI80">
        <v>1473082017</v>
      </c>
      <c r="AJ80">
        <v>24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ROW(Source!A417)</f>
        <v>417</v>
      </c>
      <c r="B81">
        <v>1473082028</v>
      </c>
      <c r="C81">
        <v>1473082014</v>
      </c>
      <c r="D81">
        <v>1441836250</v>
      </c>
      <c r="E81">
        <v>1</v>
      </c>
      <c r="F81">
        <v>1</v>
      </c>
      <c r="G81">
        <v>15514512</v>
      </c>
      <c r="H81">
        <v>3</v>
      </c>
      <c r="I81" t="s">
        <v>427</v>
      </c>
      <c r="J81" t="s">
        <v>428</v>
      </c>
      <c r="K81" t="s">
        <v>429</v>
      </c>
      <c r="L81">
        <v>1327</v>
      </c>
      <c r="N81">
        <v>1005</v>
      </c>
      <c r="O81" t="s">
        <v>430</v>
      </c>
      <c r="P81" t="s">
        <v>430</v>
      </c>
      <c r="Q81">
        <v>1</v>
      </c>
      <c r="X81">
        <v>1.1000000000000001</v>
      </c>
      <c r="Y81">
        <v>149.25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1.1000000000000001</v>
      </c>
      <c r="AH81">
        <v>2</v>
      </c>
      <c r="AI81">
        <v>1473082018</v>
      </c>
      <c r="AJ81">
        <v>25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ROW(Source!A417)</f>
        <v>417</v>
      </c>
      <c r="B82">
        <v>1473082029</v>
      </c>
      <c r="C82">
        <v>1473082014</v>
      </c>
      <c r="D82">
        <v>1441834635</v>
      </c>
      <c r="E82">
        <v>1</v>
      </c>
      <c r="F82">
        <v>1</v>
      </c>
      <c r="G82">
        <v>15514512</v>
      </c>
      <c r="H82">
        <v>3</v>
      </c>
      <c r="I82" t="s">
        <v>431</v>
      </c>
      <c r="J82" t="s">
        <v>432</v>
      </c>
      <c r="K82" t="s">
        <v>433</v>
      </c>
      <c r="L82">
        <v>1339</v>
      </c>
      <c r="N82">
        <v>1007</v>
      </c>
      <c r="O82" t="s">
        <v>434</v>
      </c>
      <c r="P82" t="s">
        <v>434</v>
      </c>
      <c r="Q82">
        <v>1</v>
      </c>
      <c r="X82">
        <v>0.5</v>
      </c>
      <c r="Y82">
        <v>103.4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0.5</v>
      </c>
      <c r="AH82">
        <v>2</v>
      </c>
      <c r="AI82">
        <v>1473082019</v>
      </c>
      <c r="AJ82">
        <v>26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ROW(Source!A417)</f>
        <v>417</v>
      </c>
      <c r="B83">
        <v>1473082030</v>
      </c>
      <c r="C83">
        <v>1473082014</v>
      </c>
      <c r="D83">
        <v>1441834627</v>
      </c>
      <c r="E83">
        <v>1</v>
      </c>
      <c r="F83">
        <v>1</v>
      </c>
      <c r="G83">
        <v>15514512</v>
      </c>
      <c r="H83">
        <v>3</v>
      </c>
      <c r="I83" t="s">
        <v>435</v>
      </c>
      <c r="J83" t="s">
        <v>436</v>
      </c>
      <c r="K83" t="s">
        <v>437</v>
      </c>
      <c r="L83">
        <v>1339</v>
      </c>
      <c r="N83">
        <v>1007</v>
      </c>
      <c r="O83" t="s">
        <v>434</v>
      </c>
      <c r="P83" t="s">
        <v>434</v>
      </c>
      <c r="Q83">
        <v>1</v>
      </c>
      <c r="X83">
        <v>0.3</v>
      </c>
      <c r="Y83">
        <v>875.46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0.3</v>
      </c>
      <c r="AH83">
        <v>2</v>
      </c>
      <c r="AI83">
        <v>1473082020</v>
      </c>
      <c r="AJ83">
        <v>27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ROW(Source!A417)</f>
        <v>417</v>
      </c>
      <c r="B84">
        <v>1473082031</v>
      </c>
      <c r="C84">
        <v>1473082014</v>
      </c>
      <c r="D84">
        <v>1441834671</v>
      </c>
      <c r="E84">
        <v>1</v>
      </c>
      <c r="F84">
        <v>1</v>
      </c>
      <c r="G84">
        <v>15514512</v>
      </c>
      <c r="H84">
        <v>3</v>
      </c>
      <c r="I84" t="s">
        <v>413</v>
      </c>
      <c r="J84" t="s">
        <v>414</v>
      </c>
      <c r="K84" t="s">
        <v>415</v>
      </c>
      <c r="L84">
        <v>1348</v>
      </c>
      <c r="N84">
        <v>1009</v>
      </c>
      <c r="O84" t="s">
        <v>412</v>
      </c>
      <c r="P84" t="s">
        <v>412</v>
      </c>
      <c r="Q84">
        <v>1000</v>
      </c>
      <c r="X84">
        <v>1E-4</v>
      </c>
      <c r="Y84">
        <v>184462.17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1E-4</v>
      </c>
      <c r="AH84">
        <v>2</v>
      </c>
      <c r="AI84">
        <v>1473082021</v>
      </c>
      <c r="AJ84">
        <v>28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ROW(Source!A417)</f>
        <v>417</v>
      </c>
      <c r="B85">
        <v>1473082032</v>
      </c>
      <c r="C85">
        <v>1473082014</v>
      </c>
      <c r="D85">
        <v>1441834634</v>
      </c>
      <c r="E85">
        <v>1</v>
      </c>
      <c r="F85">
        <v>1</v>
      </c>
      <c r="G85">
        <v>15514512</v>
      </c>
      <c r="H85">
        <v>3</v>
      </c>
      <c r="I85" t="s">
        <v>416</v>
      </c>
      <c r="J85" t="s">
        <v>417</v>
      </c>
      <c r="K85" t="s">
        <v>418</v>
      </c>
      <c r="L85">
        <v>1348</v>
      </c>
      <c r="N85">
        <v>1009</v>
      </c>
      <c r="O85" t="s">
        <v>412</v>
      </c>
      <c r="P85" t="s">
        <v>412</v>
      </c>
      <c r="Q85">
        <v>1000</v>
      </c>
      <c r="X85">
        <v>2.9999999999999997E-4</v>
      </c>
      <c r="Y85">
        <v>88053.759999999995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2.9999999999999997E-4</v>
      </c>
      <c r="AH85">
        <v>2</v>
      </c>
      <c r="AI85">
        <v>1473082022</v>
      </c>
      <c r="AJ85">
        <v>29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ROW(Source!A417)</f>
        <v>417</v>
      </c>
      <c r="B86">
        <v>1473082033</v>
      </c>
      <c r="C86">
        <v>1473082014</v>
      </c>
      <c r="D86">
        <v>1441834836</v>
      </c>
      <c r="E86">
        <v>1</v>
      </c>
      <c r="F86">
        <v>1</v>
      </c>
      <c r="G86">
        <v>15514512</v>
      </c>
      <c r="H86">
        <v>3</v>
      </c>
      <c r="I86" t="s">
        <v>419</v>
      </c>
      <c r="J86" t="s">
        <v>420</v>
      </c>
      <c r="K86" t="s">
        <v>421</v>
      </c>
      <c r="L86">
        <v>1348</v>
      </c>
      <c r="N86">
        <v>1009</v>
      </c>
      <c r="O86" t="s">
        <v>412</v>
      </c>
      <c r="P86" t="s">
        <v>412</v>
      </c>
      <c r="Q86">
        <v>1000</v>
      </c>
      <c r="X86">
        <v>6.3000000000000003E-4</v>
      </c>
      <c r="Y86">
        <v>93194.67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6.3000000000000003E-4</v>
      </c>
      <c r="AH86">
        <v>2</v>
      </c>
      <c r="AI86">
        <v>1473082023</v>
      </c>
      <c r="AJ86">
        <v>30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ROW(Source!A417)</f>
        <v>417</v>
      </c>
      <c r="B87">
        <v>1473082034</v>
      </c>
      <c r="C87">
        <v>1473082014</v>
      </c>
      <c r="D87">
        <v>1441822273</v>
      </c>
      <c r="E87">
        <v>15514512</v>
      </c>
      <c r="F87">
        <v>1</v>
      </c>
      <c r="G87">
        <v>15514512</v>
      </c>
      <c r="H87">
        <v>3</v>
      </c>
      <c r="I87" t="s">
        <v>422</v>
      </c>
      <c r="J87" t="s">
        <v>3</v>
      </c>
      <c r="K87" t="s">
        <v>423</v>
      </c>
      <c r="L87">
        <v>1348</v>
      </c>
      <c r="N87">
        <v>1009</v>
      </c>
      <c r="O87" t="s">
        <v>412</v>
      </c>
      <c r="P87" t="s">
        <v>412</v>
      </c>
      <c r="Q87">
        <v>1000</v>
      </c>
      <c r="X87">
        <v>6.9999999999999994E-5</v>
      </c>
      <c r="Y87">
        <v>94640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6.9999999999999994E-5</v>
      </c>
      <c r="AH87">
        <v>2</v>
      </c>
      <c r="AI87">
        <v>1473082024</v>
      </c>
      <c r="AJ87">
        <v>31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ROW(Source!A418)</f>
        <v>418</v>
      </c>
      <c r="B88">
        <v>1473097316</v>
      </c>
      <c r="C88">
        <v>1473097315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391</v>
      </c>
      <c r="J88" t="s">
        <v>3</v>
      </c>
      <c r="K88" t="s">
        <v>392</v>
      </c>
      <c r="L88">
        <v>1191</v>
      </c>
      <c r="N88">
        <v>1013</v>
      </c>
      <c r="O88" t="s">
        <v>393</v>
      </c>
      <c r="P88" t="s">
        <v>393</v>
      </c>
      <c r="Q88">
        <v>1</v>
      </c>
      <c r="X88">
        <v>2.38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181</v>
      </c>
      <c r="AG88">
        <v>4.76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ROW(Source!A418)</f>
        <v>418</v>
      </c>
      <c r="B89">
        <v>1473097317</v>
      </c>
      <c r="C89">
        <v>1473097315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398</v>
      </c>
      <c r="J89" t="s">
        <v>399</v>
      </c>
      <c r="K89" t="s">
        <v>400</v>
      </c>
      <c r="L89">
        <v>1346</v>
      </c>
      <c r="N89">
        <v>1009</v>
      </c>
      <c r="O89" t="s">
        <v>401</v>
      </c>
      <c r="P89" t="s">
        <v>401</v>
      </c>
      <c r="Q89">
        <v>1</v>
      </c>
      <c r="X89">
        <v>1E-3</v>
      </c>
      <c r="Y89">
        <v>31.49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181</v>
      </c>
      <c r="AG89">
        <v>2E-3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ROW(Source!A419)</f>
        <v>419</v>
      </c>
      <c r="B90">
        <v>1473097319</v>
      </c>
      <c r="C90">
        <v>1473097318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391</v>
      </c>
      <c r="J90" t="s">
        <v>3</v>
      </c>
      <c r="K90" t="s">
        <v>392</v>
      </c>
      <c r="L90">
        <v>1191</v>
      </c>
      <c r="N90">
        <v>1013</v>
      </c>
      <c r="O90" t="s">
        <v>393</v>
      </c>
      <c r="P90" t="s">
        <v>393</v>
      </c>
      <c r="Q90">
        <v>1</v>
      </c>
      <c r="X90">
        <v>1.1000000000000001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181</v>
      </c>
      <c r="AG90">
        <v>2.2000000000000002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ROW(Source!A419)</f>
        <v>419</v>
      </c>
      <c r="B91">
        <v>1473097320</v>
      </c>
      <c r="C91">
        <v>1473097318</v>
      </c>
      <c r="D91">
        <v>1441836235</v>
      </c>
      <c r="E91">
        <v>1</v>
      </c>
      <c r="F91">
        <v>1</v>
      </c>
      <c r="G91">
        <v>15514512</v>
      </c>
      <c r="H91">
        <v>3</v>
      </c>
      <c r="I91" t="s">
        <v>398</v>
      </c>
      <c r="J91" t="s">
        <v>399</v>
      </c>
      <c r="K91" t="s">
        <v>400</v>
      </c>
      <c r="L91">
        <v>1346</v>
      </c>
      <c r="N91">
        <v>1009</v>
      </c>
      <c r="O91" t="s">
        <v>401</v>
      </c>
      <c r="P91" t="s">
        <v>401</v>
      </c>
      <c r="Q91">
        <v>1</v>
      </c>
      <c r="X91">
        <v>1.1999999999999999E-3</v>
      </c>
      <c r="Y91">
        <v>31.49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181</v>
      </c>
      <c r="AG91">
        <v>2.3999999999999998E-3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ROW(Source!A420)</f>
        <v>420</v>
      </c>
      <c r="B92">
        <v>1473082040</v>
      </c>
      <c r="C92">
        <v>1473082035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391</v>
      </c>
      <c r="J92" t="s">
        <v>3</v>
      </c>
      <c r="K92" t="s">
        <v>392</v>
      </c>
      <c r="L92">
        <v>1191</v>
      </c>
      <c r="N92">
        <v>1013</v>
      </c>
      <c r="O92" t="s">
        <v>393</v>
      </c>
      <c r="P92" t="s">
        <v>393</v>
      </c>
      <c r="Q92">
        <v>1</v>
      </c>
      <c r="X92">
        <v>6.44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6.44</v>
      </c>
      <c r="AH92">
        <v>2</v>
      </c>
      <c r="AI92">
        <v>1473082036</v>
      </c>
      <c r="AJ92">
        <v>32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ROW(Source!A420)</f>
        <v>420</v>
      </c>
      <c r="B93">
        <v>1473082041</v>
      </c>
      <c r="C93">
        <v>1473082035</v>
      </c>
      <c r="D93">
        <v>1441833954</v>
      </c>
      <c r="E93">
        <v>1</v>
      </c>
      <c r="F93">
        <v>1</v>
      </c>
      <c r="G93">
        <v>15514512</v>
      </c>
      <c r="H93">
        <v>2</v>
      </c>
      <c r="I93" t="s">
        <v>438</v>
      </c>
      <c r="J93" t="s">
        <v>439</v>
      </c>
      <c r="K93" t="s">
        <v>440</v>
      </c>
      <c r="L93">
        <v>1368</v>
      </c>
      <c r="N93">
        <v>1011</v>
      </c>
      <c r="O93" t="s">
        <v>397</v>
      </c>
      <c r="P93" t="s">
        <v>397</v>
      </c>
      <c r="Q93">
        <v>1</v>
      </c>
      <c r="X93">
        <v>0.17</v>
      </c>
      <c r="Y93">
        <v>0</v>
      </c>
      <c r="Z93">
        <v>59.51</v>
      </c>
      <c r="AA93">
        <v>0.82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0.17</v>
      </c>
      <c r="AH93">
        <v>2</v>
      </c>
      <c r="AI93">
        <v>1473082037</v>
      </c>
      <c r="AJ93">
        <v>33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ROW(Source!A420)</f>
        <v>420</v>
      </c>
      <c r="B94">
        <v>1473082042</v>
      </c>
      <c r="C94">
        <v>1473082035</v>
      </c>
      <c r="D94">
        <v>1441834258</v>
      </c>
      <c r="E94">
        <v>1</v>
      </c>
      <c r="F94">
        <v>1</v>
      </c>
      <c r="G94">
        <v>15514512</v>
      </c>
      <c r="H94">
        <v>2</v>
      </c>
      <c r="I94" t="s">
        <v>394</v>
      </c>
      <c r="J94" t="s">
        <v>395</v>
      </c>
      <c r="K94" t="s">
        <v>396</v>
      </c>
      <c r="L94">
        <v>1368</v>
      </c>
      <c r="N94">
        <v>1011</v>
      </c>
      <c r="O94" t="s">
        <v>397</v>
      </c>
      <c r="P94" t="s">
        <v>397</v>
      </c>
      <c r="Q94">
        <v>1</v>
      </c>
      <c r="X94">
        <v>2.4300000000000002</v>
      </c>
      <c r="Y94">
        <v>0</v>
      </c>
      <c r="Z94">
        <v>1303.01</v>
      </c>
      <c r="AA94">
        <v>826.2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2.4300000000000002</v>
      </c>
      <c r="AH94">
        <v>2</v>
      </c>
      <c r="AI94">
        <v>1473082038</v>
      </c>
      <c r="AJ94">
        <v>34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ROW(Source!A420)</f>
        <v>420</v>
      </c>
      <c r="B95">
        <v>1473082043</v>
      </c>
      <c r="C95">
        <v>1473082035</v>
      </c>
      <c r="D95">
        <v>1441836235</v>
      </c>
      <c r="E95">
        <v>1</v>
      </c>
      <c r="F95">
        <v>1</v>
      </c>
      <c r="G95">
        <v>15514512</v>
      </c>
      <c r="H95">
        <v>3</v>
      </c>
      <c r="I95" t="s">
        <v>398</v>
      </c>
      <c r="J95" t="s">
        <v>399</v>
      </c>
      <c r="K95" t="s">
        <v>400</v>
      </c>
      <c r="L95">
        <v>1346</v>
      </c>
      <c r="N95">
        <v>1009</v>
      </c>
      <c r="O95" t="s">
        <v>401</v>
      </c>
      <c r="P95" t="s">
        <v>401</v>
      </c>
      <c r="Q95">
        <v>1</v>
      </c>
      <c r="X95">
        <v>0.15</v>
      </c>
      <c r="Y95">
        <v>31.49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0.15</v>
      </c>
      <c r="AH95">
        <v>2</v>
      </c>
      <c r="AI95">
        <v>1473082039</v>
      </c>
      <c r="AJ95">
        <v>35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ROW(Source!A421)</f>
        <v>421</v>
      </c>
      <c r="B96">
        <v>1473082051</v>
      </c>
      <c r="C96">
        <v>1473082044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391</v>
      </c>
      <c r="J96" t="s">
        <v>3</v>
      </c>
      <c r="K96" t="s">
        <v>392</v>
      </c>
      <c r="L96">
        <v>1191</v>
      </c>
      <c r="N96">
        <v>1013</v>
      </c>
      <c r="O96" t="s">
        <v>393</v>
      </c>
      <c r="P96" t="s">
        <v>393</v>
      </c>
      <c r="Q96">
        <v>1</v>
      </c>
      <c r="X96">
        <v>0.37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0.37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ROW(Source!A421)</f>
        <v>421</v>
      </c>
      <c r="B97">
        <v>1473082052</v>
      </c>
      <c r="C97">
        <v>1473082044</v>
      </c>
      <c r="D97">
        <v>1441834258</v>
      </c>
      <c r="E97">
        <v>1</v>
      </c>
      <c r="F97">
        <v>1</v>
      </c>
      <c r="G97">
        <v>15514512</v>
      </c>
      <c r="H97">
        <v>2</v>
      </c>
      <c r="I97" t="s">
        <v>394</v>
      </c>
      <c r="J97" t="s">
        <v>395</v>
      </c>
      <c r="K97" t="s">
        <v>396</v>
      </c>
      <c r="L97">
        <v>1368</v>
      </c>
      <c r="N97">
        <v>1011</v>
      </c>
      <c r="O97" t="s">
        <v>397</v>
      </c>
      <c r="P97" t="s">
        <v>397</v>
      </c>
      <c r="Q97">
        <v>1</v>
      </c>
      <c r="X97">
        <v>0.06</v>
      </c>
      <c r="Y97">
        <v>0</v>
      </c>
      <c r="Z97">
        <v>1303.01</v>
      </c>
      <c r="AA97">
        <v>826.2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0.06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ROW(Source!A422)</f>
        <v>422</v>
      </c>
      <c r="B98">
        <v>1473082057</v>
      </c>
      <c r="C98">
        <v>1473082053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391</v>
      </c>
      <c r="J98" t="s">
        <v>3</v>
      </c>
      <c r="K98" t="s">
        <v>392</v>
      </c>
      <c r="L98">
        <v>1191</v>
      </c>
      <c r="N98">
        <v>1013</v>
      </c>
      <c r="O98" t="s">
        <v>393</v>
      </c>
      <c r="P98" t="s">
        <v>393</v>
      </c>
      <c r="Q98">
        <v>1</v>
      </c>
      <c r="X98">
        <v>0.4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28</v>
      </c>
      <c r="AG98">
        <v>1.6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ROW(Source!A423)</f>
        <v>423</v>
      </c>
      <c r="B99">
        <v>1473082062</v>
      </c>
      <c r="C99">
        <v>1473082058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391</v>
      </c>
      <c r="J99" t="s">
        <v>3</v>
      </c>
      <c r="K99" t="s">
        <v>392</v>
      </c>
      <c r="L99">
        <v>1191</v>
      </c>
      <c r="N99">
        <v>1013</v>
      </c>
      <c r="O99" t="s">
        <v>393</v>
      </c>
      <c r="P99" t="s">
        <v>393</v>
      </c>
      <c r="Q99">
        <v>1</v>
      </c>
      <c r="X99">
        <v>0.24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0.24</v>
      </c>
      <c r="AH99">
        <v>2</v>
      </c>
      <c r="AI99">
        <v>1473082059</v>
      </c>
      <c r="AJ99">
        <v>36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ROW(Source!A423)</f>
        <v>423</v>
      </c>
      <c r="B100">
        <v>1473082063</v>
      </c>
      <c r="C100">
        <v>1473082058</v>
      </c>
      <c r="D100">
        <v>1441834258</v>
      </c>
      <c r="E100">
        <v>1</v>
      </c>
      <c r="F100">
        <v>1</v>
      </c>
      <c r="G100">
        <v>15514512</v>
      </c>
      <c r="H100">
        <v>2</v>
      </c>
      <c r="I100" t="s">
        <v>394</v>
      </c>
      <c r="J100" t="s">
        <v>395</v>
      </c>
      <c r="K100" t="s">
        <v>396</v>
      </c>
      <c r="L100">
        <v>1368</v>
      </c>
      <c r="N100">
        <v>1011</v>
      </c>
      <c r="O100" t="s">
        <v>397</v>
      </c>
      <c r="P100" t="s">
        <v>397</v>
      </c>
      <c r="Q100">
        <v>1</v>
      </c>
      <c r="X100">
        <v>0.03</v>
      </c>
      <c r="Y100">
        <v>0</v>
      </c>
      <c r="Z100">
        <v>1303.01</v>
      </c>
      <c r="AA100">
        <v>826.2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0.03</v>
      </c>
      <c r="AH100">
        <v>2</v>
      </c>
      <c r="AI100">
        <v>1473082060</v>
      </c>
      <c r="AJ100">
        <v>37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ROW(Source!A423)</f>
        <v>423</v>
      </c>
      <c r="B101">
        <v>1473082064</v>
      </c>
      <c r="C101">
        <v>1473082058</v>
      </c>
      <c r="D101">
        <v>1441836235</v>
      </c>
      <c r="E101">
        <v>1</v>
      </c>
      <c r="F101">
        <v>1</v>
      </c>
      <c r="G101">
        <v>15514512</v>
      </c>
      <c r="H101">
        <v>3</v>
      </c>
      <c r="I101" t="s">
        <v>398</v>
      </c>
      <c r="J101" t="s">
        <v>399</v>
      </c>
      <c r="K101" t="s">
        <v>400</v>
      </c>
      <c r="L101">
        <v>1346</v>
      </c>
      <c r="N101">
        <v>1009</v>
      </c>
      <c r="O101" t="s">
        <v>401</v>
      </c>
      <c r="P101" t="s">
        <v>401</v>
      </c>
      <c r="Q101">
        <v>1</v>
      </c>
      <c r="X101">
        <v>1.4999999999999999E-2</v>
      </c>
      <c r="Y101">
        <v>31.49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1.4999999999999999E-2</v>
      </c>
      <c r="AH101">
        <v>2</v>
      </c>
      <c r="AI101">
        <v>1473082061</v>
      </c>
      <c r="AJ101">
        <v>38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ROW(Source!A424)</f>
        <v>424</v>
      </c>
      <c r="B102">
        <v>1473082067</v>
      </c>
      <c r="C102">
        <v>1473082065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391</v>
      </c>
      <c r="J102" t="s">
        <v>3</v>
      </c>
      <c r="K102" t="s">
        <v>392</v>
      </c>
      <c r="L102">
        <v>1191</v>
      </c>
      <c r="N102">
        <v>1013</v>
      </c>
      <c r="O102" t="s">
        <v>393</v>
      </c>
      <c r="P102" t="s">
        <v>393</v>
      </c>
      <c r="Q102">
        <v>1</v>
      </c>
      <c r="X102">
        <v>1.68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163</v>
      </c>
      <c r="AG102">
        <v>5.04</v>
      </c>
      <c r="AH102">
        <v>2</v>
      </c>
      <c r="AI102">
        <v>1473082066</v>
      </c>
      <c r="AJ102">
        <v>39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ROW(Source!A494)</f>
        <v>494</v>
      </c>
      <c r="B103">
        <v>1473082070</v>
      </c>
      <c r="C103">
        <v>1473082068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391</v>
      </c>
      <c r="J103" t="s">
        <v>3</v>
      </c>
      <c r="K103" t="s">
        <v>392</v>
      </c>
      <c r="L103">
        <v>1191</v>
      </c>
      <c r="N103">
        <v>1013</v>
      </c>
      <c r="O103" t="s">
        <v>393</v>
      </c>
      <c r="P103" t="s">
        <v>393</v>
      </c>
      <c r="Q103">
        <v>1</v>
      </c>
      <c r="X103">
        <v>0.06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209</v>
      </c>
      <c r="AG103">
        <v>7.08</v>
      </c>
      <c r="AH103">
        <v>2</v>
      </c>
      <c r="AI103">
        <v>1473082069</v>
      </c>
      <c r="AJ103">
        <v>40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ROW(Source!A495)</f>
        <v>495</v>
      </c>
      <c r="B104">
        <v>1473082074</v>
      </c>
      <c r="C104">
        <v>1473082071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391</v>
      </c>
      <c r="J104" t="s">
        <v>3</v>
      </c>
      <c r="K104" t="s">
        <v>392</v>
      </c>
      <c r="L104">
        <v>1191</v>
      </c>
      <c r="N104">
        <v>1013</v>
      </c>
      <c r="O104" t="s">
        <v>393</v>
      </c>
      <c r="P104" t="s">
        <v>393</v>
      </c>
      <c r="Q104">
        <v>1</v>
      </c>
      <c r="X104">
        <v>0.2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28</v>
      </c>
      <c r="AG104">
        <v>0.8</v>
      </c>
      <c r="AH104">
        <v>2</v>
      </c>
      <c r="AI104">
        <v>1473082072</v>
      </c>
      <c r="AJ104">
        <v>41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ROW(Source!A495)</f>
        <v>495</v>
      </c>
      <c r="B105">
        <v>1473082075</v>
      </c>
      <c r="C105">
        <v>1473082071</v>
      </c>
      <c r="D105">
        <v>1441836235</v>
      </c>
      <c r="E105">
        <v>1</v>
      </c>
      <c r="F105">
        <v>1</v>
      </c>
      <c r="G105">
        <v>15514512</v>
      </c>
      <c r="H105">
        <v>3</v>
      </c>
      <c r="I105" t="s">
        <v>398</v>
      </c>
      <c r="J105" t="s">
        <v>399</v>
      </c>
      <c r="K105" t="s">
        <v>400</v>
      </c>
      <c r="L105">
        <v>1346</v>
      </c>
      <c r="N105">
        <v>1009</v>
      </c>
      <c r="O105" t="s">
        <v>401</v>
      </c>
      <c r="P105" t="s">
        <v>401</v>
      </c>
      <c r="Q105">
        <v>1</v>
      </c>
      <c r="X105">
        <v>0.05</v>
      </c>
      <c r="Y105">
        <v>31.49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28</v>
      </c>
      <c r="AG105">
        <v>0.2</v>
      </c>
      <c r="AH105">
        <v>2</v>
      </c>
      <c r="AI105">
        <v>1473082073</v>
      </c>
      <c r="AJ105">
        <v>42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ROW(Source!A496)</f>
        <v>496</v>
      </c>
      <c r="B106">
        <v>1473082077</v>
      </c>
      <c r="C106">
        <v>1473082076</v>
      </c>
      <c r="D106">
        <v>1441819193</v>
      </c>
      <c r="E106">
        <v>15514512</v>
      </c>
      <c r="F106">
        <v>1</v>
      </c>
      <c r="G106">
        <v>15514512</v>
      </c>
      <c r="H106">
        <v>1</v>
      </c>
      <c r="I106" t="s">
        <v>391</v>
      </c>
      <c r="J106" t="s">
        <v>3</v>
      </c>
      <c r="K106" t="s">
        <v>392</v>
      </c>
      <c r="L106">
        <v>1191</v>
      </c>
      <c r="N106">
        <v>1013</v>
      </c>
      <c r="O106" t="s">
        <v>393</v>
      </c>
      <c r="P106" t="s">
        <v>393</v>
      </c>
      <c r="Q106">
        <v>1</v>
      </c>
      <c r="X106">
        <v>0.08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216</v>
      </c>
      <c r="AG106">
        <v>28.240000000000002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ROW(Source!A497)</f>
        <v>497</v>
      </c>
      <c r="B107">
        <v>1473082079</v>
      </c>
      <c r="C107">
        <v>1473082078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391</v>
      </c>
      <c r="J107" t="s">
        <v>3</v>
      </c>
      <c r="K107" t="s">
        <v>392</v>
      </c>
      <c r="L107">
        <v>1191</v>
      </c>
      <c r="N107">
        <v>1013</v>
      </c>
      <c r="O107" t="s">
        <v>393</v>
      </c>
      <c r="P107" t="s">
        <v>393</v>
      </c>
      <c r="Q107">
        <v>1</v>
      </c>
      <c r="X107">
        <v>0.14000000000000001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28</v>
      </c>
      <c r="AG107">
        <v>0.56000000000000005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ROW(Source!A498)</f>
        <v>498</v>
      </c>
      <c r="B108">
        <v>1473082081</v>
      </c>
      <c r="C108">
        <v>1473082080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391</v>
      </c>
      <c r="J108" t="s">
        <v>3</v>
      </c>
      <c r="K108" t="s">
        <v>392</v>
      </c>
      <c r="L108">
        <v>1191</v>
      </c>
      <c r="N108">
        <v>1013</v>
      </c>
      <c r="O108" t="s">
        <v>393</v>
      </c>
      <c r="P108" t="s">
        <v>393</v>
      </c>
      <c r="Q108">
        <v>1</v>
      </c>
      <c r="X108">
        <v>0.6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0.6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ROW(Source!A498)</f>
        <v>498</v>
      </c>
      <c r="B109">
        <v>1473082082</v>
      </c>
      <c r="C109">
        <v>1473082080</v>
      </c>
      <c r="D109">
        <v>1441836235</v>
      </c>
      <c r="E109">
        <v>1</v>
      </c>
      <c r="F109">
        <v>1</v>
      </c>
      <c r="G109">
        <v>15514512</v>
      </c>
      <c r="H109">
        <v>3</v>
      </c>
      <c r="I109" t="s">
        <v>398</v>
      </c>
      <c r="J109" t="s">
        <v>399</v>
      </c>
      <c r="K109" t="s">
        <v>400</v>
      </c>
      <c r="L109">
        <v>1346</v>
      </c>
      <c r="N109">
        <v>1009</v>
      </c>
      <c r="O109" t="s">
        <v>401</v>
      </c>
      <c r="P109" t="s">
        <v>401</v>
      </c>
      <c r="Q109">
        <v>1</v>
      </c>
      <c r="X109">
        <v>0.05</v>
      </c>
      <c r="Y109">
        <v>31.49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0.05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ROW(Source!A499)</f>
        <v>499</v>
      </c>
      <c r="B110">
        <v>1473082084</v>
      </c>
      <c r="C110">
        <v>1473082083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391</v>
      </c>
      <c r="J110" t="s">
        <v>3</v>
      </c>
      <c r="K110" t="s">
        <v>392</v>
      </c>
      <c r="L110">
        <v>1191</v>
      </c>
      <c r="N110">
        <v>1013</v>
      </c>
      <c r="O110" t="s">
        <v>393</v>
      </c>
      <c r="P110" t="s">
        <v>393</v>
      </c>
      <c r="Q110">
        <v>1</v>
      </c>
      <c r="X110">
        <v>1.5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3</v>
      </c>
      <c r="AG110">
        <v>1.5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ROW(Source!A499)</f>
        <v>499</v>
      </c>
      <c r="B111">
        <v>1473082086</v>
      </c>
      <c r="C111">
        <v>1473082083</v>
      </c>
      <c r="D111">
        <v>1441820422</v>
      </c>
      <c r="E111">
        <v>15514512</v>
      </c>
      <c r="F111">
        <v>1</v>
      </c>
      <c r="G111">
        <v>15514512</v>
      </c>
      <c r="H111">
        <v>3</v>
      </c>
      <c r="I111" t="s">
        <v>496</v>
      </c>
      <c r="J111" t="s">
        <v>3</v>
      </c>
      <c r="K111" t="s">
        <v>497</v>
      </c>
      <c r="L111">
        <v>1346</v>
      </c>
      <c r="N111">
        <v>1009</v>
      </c>
      <c r="O111" t="s">
        <v>401</v>
      </c>
      <c r="P111" t="s">
        <v>401</v>
      </c>
      <c r="Q111">
        <v>1</v>
      </c>
      <c r="X111">
        <v>4.0000000000000001E-3</v>
      </c>
      <c r="Y111">
        <v>1511.54088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4.0000000000000001E-3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ROW(Source!A499)</f>
        <v>499</v>
      </c>
      <c r="B112">
        <v>1473082087</v>
      </c>
      <c r="C112">
        <v>1473082083</v>
      </c>
      <c r="D112">
        <v>1441836235</v>
      </c>
      <c r="E112">
        <v>1</v>
      </c>
      <c r="F112">
        <v>1</v>
      </c>
      <c r="G112">
        <v>15514512</v>
      </c>
      <c r="H112">
        <v>3</v>
      </c>
      <c r="I112" t="s">
        <v>398</v>
      </c>
      <c r="J112" t="s">
        <v>399</v>
      </c>
      <c r="K112" t="s">
        <v>400</v>
      </c>
      <c r="L112">
        <v>1346</v>
      </c>
      <c r="N112">
        <v>1009</v>
      </c>
      <c r="O112" t="s">
        <v>401</v>
      </c>
      <c r="P112" t="s">
        <v>401</v>
      </c>
      <c r="Q112">
        <v>1</v>
      </c>
      <c r="X112">
        <v>0.01</v>
      </c>
      <c r="Y112">
        <v>31.49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0.01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ROW(Source!A499)</f>
        <v>499</v>
      </c>
      <c r="B113">
        <v>1473082088</v>
      </c>
      <c r="C113">
        <v>1473082083</v>
      </c>
      <c r="D113">
        <v>1441838748</v>
      </c>
      <c r="E113">
        <v>1</v>
      </c>
      <c r="F113">
        <v>1</v>
      </c>
      <c r="G113">
        <v>15514512</v>
      </c>
      <c r="H113">
        <v>3</v>
      </c>
      <c r="I113" t="s">
        <v>465</v>
      </c>
      <c r="J113" t="s">
        <v>466</v>
      </c>
      <c r="K113" t="s">
        <v>467</v>
      </c>
      <c r="L113">
        <v>1327</v>
      </c>
      <c r="N113">
        <v>1005</v>
      </c>
      <c r="O113" t="s">
        <v>430</v>
      </c>
      <c r="P113" t="s">
        <v>430</v>
      </c>
      <c r="Q113">
        <v>1</v>
      </c>
      <c r="X113">
        <v>1.0999999999999999E-2</v>
      </c>
      <c r="Y113">
        <v>208.99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1.0999999999999999E-2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ROW(Source!A499)</f>
        <v>499</v>
      </c>
      <c r="B114">
        <v>1473082085</v>
      </c>
      <c r="C114">
        <v>1473082083</v>
      </c>
      <c r="D114">
        <v>1441822228</v>
      </c>
      <c r="E114">
        <v>15514512</v>
      </c>
      <c r="F114">
        <v>1</v>
      </c>
      <c r="G114">
        <v>15514512</v>
      </c>
      <c r="H114">
        <v>3</v>
      </c>
      <c r="I114" t="s">
        <v>447</v>
      </c>
      <c r="J114" t="s">
        <v>3</v>
      </c>
      <c r="K114" t="s">
        <v>449</v>
      </c>
      <c r="L114">
        <v>1346</v>
      </c>
      <c r="N114">
        <v>1009</v>
      </c>
      <c r="O114" t="s">
        <v>401</v>
      </c>
      <c r="P114" t="s">
        <v>401</v>
      </c>
      <c r="Q114">
        <v>1</v>
      </c>
      <c r="X114">
        <v>2.3E-2</v>
      </c>
      <c r="Y114">
        <v>73.951729999999998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2.3E-2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ROW(Source!A499)</f>
        <v>499</v>
      </c>
      <c r="B115">
        <v>1473082089</v>
      </c>
      <c r="C115">
        <v>1473082083</v>
      </c>
      <c r="D115">
        <v>1441834920</v>
      </c>
      <c r="E115">
        <v>1</v>
      </c>
      <c r="F115">
        <v>1</v>
      </c>
      <c r="G115">
        <v>15514512</v>
      </c>
      <c r="H115">
        <v>3</v>
      </c>
      <c r="I115" t="s">
        <v>498</v>
      </c>
      <c r="J115" t="s">
        <v>499</v>
      </c>
      <c r="K115" t="s">
        <v>500</v>
      </c>
      <c r="L115">
        <v>1346</v>
      </c>
      <c r="N115">
        <v>1009</v>
      </c>
      <c r="O115" t="s">
        <v>401</v>
      </c>
      <c r="P115" t="s">
        <v>401</v>
      </c>
      <c r="Q115">
        <v>1</v>
      </c>
      <c r="X115">
        <v>1.9E-2</v>
      </c>
      <c r="Y115">
        <v>106.87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1.9E-2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ROW(Source!A500)</f>
        <v>500</v>
      </c>
      <c r="B116">
        <v>1473082091</v>
      </c>
      <c r="C116">
        <v>1473082090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391</v>
      </c>
      <c r="J116" t="s">
        <v>3</v>
      </c>
      <c r="K116" t="s">
        <v>392</v>
      </c>
      <c r="L116">
        <v>1191</v>
      </c>
      <c r="N116">
        <v>1013</v>
      </c>
      <c r="O116" t="s">
        <v>393</v>
      </c>
      <c r="P116" t="s">
        <v>393</v>
      </c>
      <c r="Q116">
        <v>1</v>
      </c>
      <c r="X116">
        <v>0.05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163</v>
      </c>
      <c r="AG116">
        <v>0.15000000000000002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ROW(Source!A501)</f>
        <v>501</v>
      </c>
      <c r="B117">
        <v>1473082094</v>
      </c>
      <c r="C117">
        <v>1473082092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391</v>
      </c>
      <c r="J117" t="s">
        <v>3</v>
      </c>
      <c r="K117" t="s">
        <v>392</v>
      </c>
      <c r="L117">
        <v>1191</v>
      </c>
      <c r="N117">
        <v>1013</v>
      </c>
      <c r="O117" t="s">
        <v>393</v>
      </c>
      <c r="P117" t="s">
        <v>393</v>
      </c>
      <c r="Q117">
        <v>1</v>
      </c>
      <c r="X117">
        <v>7.0000000000000007E-2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209</v>
      </c>
      <c r="AG117">
        <v>8.2600000000000016</v>
      </c>
      <c r="AH117">
        <v>2</v>
      </c>
      <c r="AI117">
        <v>1473082093</v>
      </c>
      <c r="AJ117">
        <v>43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ROW(Source!A502)</f>
        <v>502</v>
      </c>
      <c r="B118">
        <v>1473082098</v>
      </c>
      <c r="C118">
        <v>1473082095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391</v>
      </c>
      <c r="J118" t="s">
        <v>3</v>
      </c>
      <c r="K118" t="s">
        <v>392</v>
      </c>
      <c r="L118">
        <v>1191</v>
      </c>
      <c r="N118">
        <v>1013</v>
      </c>
      <c r="O118" t="s">
        <v>393</v>
      </c>
      <c r="P118" t="s">
        <v>393</v>
      </c>
      <c r="Q118">
        <v>1</v>
      </c>
      <c r="X118">
        <v>0.17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163</v>
      </c>
      <c r="AG118">
        <v>0.51</v>
      </c>
      <c r="AH118">
        <v>2</v>
      </c>
      <c r="AI118">
        <v>1473082096</v>
      </c>
      <c r="AJ118">
        <v>44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ROW(Source!A502)</f>
        <v>502</v>
      </c>
      <c r="B119">
        <v>1473082099</v>
      </c>
      <c r="C119">
        <v>1473082095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398</v>
      </c>
      <c r="J119" t="s">
        <v>399</v>
      </c>
      <c r="K119" t="s">
        <v>400</v>
      </c>
      <c r="L119">
        <v>1346</v>
      </c>
      <c r="N119">
        <v>1009</v>
      </c>
      <c r="O119" t="s">
        <v>401</v>
      </c>
      <c r="P119" t="s">
        <v>401</v>
      </c>
      <c r="Q119">
        <v>1</v>
      </c>
      <c r="X119">
        <v>0.05</v>
      </c>
      <c r="Y119">
        <v>31.49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163</v>
      </c>
      <c r="AG119">
        <v>0.15000000000000002</v>
      </c>
      <c r="AH119">
        <v>2</v>
      </c>
      <c r="AI119">
        <v>1473082097</v>
      </c>
      <c r="AJ119">
        <v>45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ROW(Source!A503)</f>
        <v>503</v>
      </c>
      <c r="B120">
        <v>1473082104</v>
      </c>
      <c r="C120">
        <v>1473082100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391</v>
      </c>
      <c r="J120" t="s">
        <v>3</v>
      </c>
      <c r="K120" t="s">
        <v>392</v>
      </c>
      <c r="L120">
        <v>1191</v>
      </c>
      <c r="N120">
        <v>1013</v>
      </c>
      <c r="O120" t="s">
        <v>393</v>
      </c>
      <c r="P120" t="s">
        <v>393</v>
      </c>
      <c r="Q120">
        <v>1</v>
      </c>
      <c r="X120">
        <v>0.5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0.5</v>
      </c>
      <c r="AH120">
        <v>2</v>
      </c>
      <c r="AI120">
        <v>1473082101</v>
      </c>
      <c r="AJ120">
        <v>46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ROW(Source!A503)</f>
        <v>503</v>
      </c>
      <c r="B121">
        <v>1473082105</v>
      </c>
      <c r="C121">
        <v>1473082100</v>
      </c>
      <c r="D121">
        <v>1441834258</v>
      </c>
      <c r="E121">
        <v>1</v>
      </c>
      <c r="F121">
        <v>1</v>
      </c>
      <c r="G121">
        <v>15514512</v>
      </c>
      <c r="H121">
        <v>2</v>
      </c>
      <c r="I121" t="s">
        <v>394</v>
      </c>
      <c r="J121" t="s">
        <v>395</v>
      </c>
      <c r="K121" t="s">
        <v>396</v>
      </c>
      <c r="L121">
        <v>1368</v>
      </c>
      <c r="N121">
        <v>1011</v>
      </c>
      <c r="O121" t="s">
        <v>397</v>
      </c>
      <c r="P121" t="s">
        <v>397</v>
      </c>
      <c r="Q121">
        <v>1</v>
      </c>
      <c r="X121">
        <v>0.03</v>
      </c>
      <c r="Y121">
        <v>0</v>
      </c>
      <c r="Z121">
        <v>1303.01</v>
      </c>
      <c r="AA121">
        <v>826.2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0.03</v>
      </c>
      <c r="AH121">
        <v>2</v>
      </c>
      <c r="AI121">
        <v>1473082102</v>
      </c>
      <c r="AJ121">
        <v>47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ROW(Source!A503)</f>
        <v>503</v>
      </c>
      <c r="B122">
        <v>1473082106</v>
      </c>
      <c r="C122">
        <v>1473082100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398</v>
      </c>
      <c r="J122" t="s">
        <v>399</v>
      </c>
      <c r="K122" t="s">
        <v>400</v>
      </c>
      <c r="L122">
        <v>1346</v>
      </c>
      <c r="N122">
        <v>1009</v>
      </c>
      <c r="O122" t="s">
        <v>401</v>
      </c>
      <c r="P122" t="s">
        <v>401</v>
      </c>
      <c r="Q122">
        <v>1</v>
      </c>
      <c r="X122">
        <v>3.0000000000000001E-3</v>
      </c>
      <c r="Y122">
        <v>31.49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3.0000000000000001E-3</v>
      </c>
      <c r="AH122">
        <v>2</v>
      </c>
      <c r="AI122">
        <v>1473082103</v>
      </c>
      <c r="AJ122">
        <v>48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ROW(Source!A504)</f>
        <v>504</v>
      </c>
      <c r="B123">
        <v>1473082108</v>
      </c>
      <c r="C123">
        <v>1473082107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391</v>
      </c>
      <c r="J123" t="s">
        <v>3</v>
      </c>
      <c r="K123" t="s">
        <v>392</v>
      </c>
      <c r="L123">
        <v>1191</v>
      </c>
      <c r="N123">
        <v>1013</v>
      </c>
      <c r="O123" t="s">
        <v>393</v>
      </c>
      <c r="P123" t="s">
        <v>393</v>
      </c>
      <c r="Q123">
        <v>1</v>
      </c>
      <c r="X123">
        <v>0.08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216</v>
      </c>
      <c r="AG123">
        <v>28.240000000000002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ROW(Source!A505)</f>
        <v>505</v>
      </c>
      <c r="B124">
        <v>1473082110</v>
      </c>
      <c r="C124">
        <v>1473082109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391</v>
      </c>
      <c r="J124" t="s">
        <v>3</v>
      </c>
      <c r="K124" t="s">
        <v>392</v>
      </c>
      <c r="L124">
        <v>1191</v>
      </c>
      <c r="N124">
        <v>1013</v>
      </c>
      <c r="O124" t="s">
        <v>393</v>
      </c>
      <c r="P124" t="s">
        <v>393</v>
      </c>
      <c r="Q124">
        <v>1</v>
      </c>
      <c r="X124">
        <v>0.14000000000000001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28</v>
      </c>
      <c r="AG124">
        <v>0.56000000000000005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ROW(Source!A506)</f>
        <v>506</v>
      </c>
      <c r="B125">
        <v>1473082112</v>
      </c>
      <c r="C125">
        <v>1473082111</v>
      </c>
      <c r="D125">
        <v>1441819193</v>
      </c>
      <c r="E125">
        <v>15514512</v>
      </c>
      <c r="F125">
        <v>1</v>
      </c>
      <c r="G125">
        <v>15514512</v>
      </c>
      <c r="H125">
        <v>1</v>
      </c>
      <c r="I125" t="s">
        <v>391</v>
      </c>
      <c r="J125" t="s">
        <v>3</v>
      </c>
      <c r="K125" t="s">
        <v>392</v>
      </c>
      <c r="L125">
        <v>1191</v>
      </c>
      <c r="N125">
        <v>1013</v>
      </c>
      <c r="O125" t="s">
        <v>393</v>
      </c>
      <c r="P125" t="s">
        <v>393</v>
      </c>
      <c r="Q125">
        <v>1</v>
      </c>
      <c r="X125">
        <v>0.6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3</v>
      </c>
      <c r="AG125">
        <v>0.6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ROW(Source!A506)</f>
        <v>506</v>
      </c>
      <c r="B126">
        <v>1473082113</v>
      </c>
      <c r="C126">
        <v>1473082111</v>
      </c>
      <c r="D126">
        <v>1441836235</v>
      </c>
      <c r="E126">
        <v>1</v>
      </c>
      <c r="F126">
        <v>1</v>
      </c>
      <c r="G126">
        <v>15514512</v>
      </c>
      <c r="H126">
        <v>3</v>
      </c>
      <c r="I126" t="s">
        <v>398</v>
      </c>
      <c r="J126" t="s">
        <v>399</v>
      </c>
      <c r="K126" t="s">
        <v>400</v>
      </c>
      <c r="L126">
        <v>1346</v>
      </c>
      <c r="N126">
        <v>1009</v>
      </c>
      <c r="O126" t="s">
        <v>401</v>
      </c>
      <c r="P126" t="s">
        <v>401</v>
      </c>
      <c r="Q126">
        <v>1</v>
      </c>
      <c r="X126">
        <v>0.05</v>
      </c>
      <c r="Y126">
        <v>31.49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0.05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ROW(Source!A507)</f>
        <v>507</v>
      </c>
      <c r="B127">
        <v>1473082115</v>
      </c>
      <c r="C127">
        <v>1473082114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391</v>
      </c>
      <c r="J127" t="s">
        <v>3</v>
      </c>
      <c r="K127" t="s">
        <v>392</v>
      </c>
      <c r="L127">
        <v>1191</v>
      </c>
      <c r="N127">
        <v>1013</v>
      </c>
      <c r="O127" t="s">
        <v>393</v>
      </c>
      <c r="P127" t="s">
        <v>393</v>
      </c>
      <c r="Q127">
        <v>1</v>
      </c>
      <c r="X127">
        <v>1.5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3</v>
      </c>
      <c r="AG127">
        <v>1.5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ROW(Source!A507)</f>
        <v>507</v>
      </c>
      <c r="B128">
        <v>1473082117</v>
      </c>
      <c r="C128">
        <v>1473082114</v>
      </c>
      <c r="D128">
        <v>1441820422</v>
      </c>
      <c r="E128">
        <v>15514512</v>
      </c>
      <c r="F128">
        <v>1</v>
      </c>
      <c r="G128">
        <v>15514512</v>
      </c>
      <c r="H128">
        <v>3</v>
      </c>
      <c r="I128" t="s">
        <v>496</v>
      </c>
      <c r="J128" t="s">
        <v>3</v>
      </c>
      <c r="K128" t="s">
        <v>497</v>
      </c>
      <c r="L128">
        <v>1346</v>
      </c>
      <c r="N128">
        <v>1009</v>
      </c>
      <c r="O128" t="s">
        <v>401</v>
      </c>
      <c r="P128" t="s">
        <v>401</v>
      </c>
      <c r="Q128">
        <v>1</v>
      </c>
      <c r="X128">
        <v>4.0000000000000001E-3</v>
      </c>
      <c r="Y128">
        <v>1511.54088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4.0000000000000001E-3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ROW(Source!A507)</f>
        <v>507</v>
      </c>
      <c r="B129">
        <v>1473082118</v>
      </c>
      <c r="C129">
        <v>1473082114</v>
      </c>
      <c r="D129">
        <v>1441836235</v>
      </c>
      <c r="E129">
        <v>1</v>
      </c>
      <c r="F129">
        <v>1</v>
      </c>
      <c r="G129">
        <v>15514512</v>
      </c>
      <c r="H129">
        <v>3</v>
      </c>
      <c r="I129" t="s">
        <v>398</v>
      </c>
      <c r="J129" t="s">
        <v>399</v>
      </c>
      <c r="K129" t="s">
        <v>400</v>
      </c>
      <c r="L129">
        <v>1346</v>
      </c>
      <c r="N129">
        <v>1009</v>
      </c>
      <c r="O129" t="s">
        <v>401</v>
      </c>
      <c r="P129" t="s">
        <v>401</v>
      </c>
      <c r="Q129">
        <v>1</v>
      </c>
      <c r="X129">
        <v>0.01</v>
      </c>
      <c r="Y129">
        <v>31.49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0.01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ROW(Source!A507)</f>
        <v>507</v>
      </c>
      <c r="B130">
        <v>1473082119</v>
      </c>
      <c r="C130">
        <v>1473082114</v>
      </c>
      <c r="D130">
        <v>1441838748</v>
      </c>
      <c r="E130">
        <v>1</v>
      </c>
      <c r="F130">
        <v>1</v>
      </c>
      <c r="G130">
        <v>15514512</v>
      </c>
      <c r="H130">
        <v>3</v>
      </c>
      <c r="I130" t="s">
        <v>465</v>
      </c>
      <c r="J130" t="s">
        <v>466</v>
      </c>
      <c r="K130" t="s">
        <v>467</v>
      </c>
      <c r="L130">
        <v>1327</v>
      </c>
      <c r="N130">
        <v>1005</v>
      </c>
      <c r="O130" t="s">
        <v>430</v>
      </c>
      <c r="P130" t="s">
        <v>430</v>
      </c>
      <c r="Q130">
        <v>1</v>
      </c>
      <c r="X130">
        <v>1.0999999999999999E-2</v>
      </c>
      <c r="Y130">
        <v>208.99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1.0999999999999999E-2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ROW(Source!A507)</f>
        <v>507</v>
      </c>
      <c r="B131">
        <v>1473082116</v>
      </c>
      <c r="C131">
        <v>1473082114</v>
      </c>
      <c r="D131">
        <v>1441822228</v>
      </c>
      <c r="E131">
        <v>15514512</v>
      </c>
      <c r="F131">
        <v>1</v>
      </c>
      <c r="G131">
        <v>15514512</v>
      </c>
      <c r="H131">
        <v>3</v>
      </c>
      <c r="I131" t="s">
        <v>447</v>
      </c>
      <c r="J131" t="s">
        <v>3</v>
      </c>
      <c r="K131" t="s">
        <v>449</v>
      </c>
      <c r="L131">
        <v>1346</v>
      </c>
      <c r="N131">
        <v>1009</v>
      </c>
      <c r="O131" t="s">
        <v>401</v>
      </c>
      <c r="P131" t="s">
        <v>401</v>
      </c>
      <c r="Q131">
        <v>1</v>
      </c>
      <c r="X131">
        <v>2.3E-2</v>
      </c>
      <c r="Y131">
        <v>73.951729999999998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2.3E-2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ROW(Source!A507)</f>
        <v>507</v>
      </c>
      <c r="B132">
        <v>1473082120</v>
      </c>
      <c r="C132">
        <v>1473082114</v>
      </c>
      <c r="D132">
        <v>1441834920</v>
      </c>
      <c r="E132">
        <v>1</v>
      </c>
      <c r="F132">
        <v>1</v>
      </c>
      <c r="G132">
        <v>15514512</v>
      </c>
      <c r="H132">
        <v>3</v>
      </c>
      <c r="I132" t="s">
        <v>498</v>
      </c>
      <c r="J132" t="s">
        <v>499</v>
      </c>
      <c r="K132" t="s">
        <v>500</v>
      </c>
      <c r="L132">
        <v>1346</v>
      </c>
      <c r="N132">
        <v>1009</v>
      </c>
      <c r="O132" t="s">
        <v>401</v>
      </c>
      <c r="P132" t="s">
        <v>401</v>
      </c>
      <c r="Q132">
        <v>1</v>
      </c>
      <c r="X132">
        <v>1.9E-2</v>
      </c>
      <c r="Y132">
        <v>106.87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1.9E-2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ROW(Source!A508)</f>
        <v>508</v>
      </c>
      <c r="B133">
        <v>1473082122</v>
      </c>
      <c r="C133">
        <v>1473082121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391</v>
      </c>
      <c r="J133" t="s">
        <v>3</v>
      </c>
      <c r="K133" t="s">
        <v>392</v>
      </c>
      <c r="L133">
        <v>1191</v>
      </c>
      <c r="N133">
        <v>1013</v>
      </c>
      <c r="O133" t="s">
        <v>393</v>
      </c>
      <c r="P133" t="s">
        <v>393</v>
      </c>
      <c r="Q133">
        <v>1</v>
      </c>
      <c r="X133">
        <v>0.05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163</v>
      </c>
      <c r="AG133">
        <v>0.15000000000000002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ROW(Source!A509)</f>
        <v>509</v>
      </c>
      <c r="B134">
        <v>1473082128</v>
      </c>
      <c r="C134">
        <v>1473082123</v>
      </c>
      <c r="D134">
        <v>1441819193</v>
      </c>
      <c r="E134">
        <v>15514512</v>
      </c>
      <c r="F134">
        <v>1</v>
      </c>
      <c r="G134">
        <v>15514512</v>
      </c>
      <c r="H134">
        <v>1</v>
      </c>
      <c r="I134" t="s">
        <v>391</v>
      </c>
      <c r="J134" t="s">
        <v>3</v>
      </c>
      <c r="K134" t="s">
        <v>392</v>
      </c>
      <c r="L134">
        <v>1191</v>
      </c>
      <c r="N134">
        <v>1013</v>
      </c>
      <c r="O134" t="s">
        <v>393</v>
      </c>
      <c r="P134" t="s">
        <v>393</v>
      </c>
      <c r="Q134">
        <v>1</v>
      </c>
      <c r="X134">
        <v>0.17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1</v>
      </c>
      <c r="AF134" t="s">
        <v>28</v>
      </c>
      <c r="AG134">
        <v>0.68</v>
      </c>
      <c r="AH134">
        <v>2</v>
      </c>
      <c r="AI134">
        <v>1473082124</v>
      </c>
      <c r="AJ134">
        <v>49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ROW(Source!A509)</f>
        <v>509</v>
      </c>
      <c r="B135">
        <v>1473082129</v>
      </c>
      <c r="C135">
        <v>1473082123</v>
      </c>
      <c r="D135">
        <v>1441834258</v>
      </c>
      <c r="E135">
        <v>1</v>
      </c>
      <c r="F135">
        <v>1</v>
      </c>
      <c r="G135">
        <v>15514512</v>
      </c>
      <c r="H135">
        <v>2</v>
      </c>
      <c r="I135" t="s">
        <v>394</v>
      </c>
      <c r="J135" t="s">
        <v>395</v>
      </c>
      <c r="K135" t="s">
        <v>396</v>
      </c>
      <c r="L135">
        <v>1368</v>
      </c>
      <c r="N135">
        <v>1011</v>
      </c>
      <c r="O135" t="s">
        <v>397</v>
      </c>
      <c r="P135" t="s">
        <v>397</v>
      </c>
      <c r="Q135">
        <v>1</v>
      </c>
      <c r="X135">
        <v>0.01</v>
      </c>
      <c r="Y135">
        <v>0</v>
      </c>
      <c r="Z135">
        <v>1303.01</v>
      </c>
      <c r="AA135">
        <v>826.2</v>
      </c>
      <c r="AB135">
        <v>0</v>
      </c>
      <c r="AC135">
        <v>0</v>
      </c>
      <c r="AD135">
        <v>1</v>
      </c>
      <c r="AE135">
        <v>0</v>
      </c>
      <c r="AF135" t="s">
        <v>28</v>
      </c>
      <c r="AG135">
        <v>0.04</v>
      </c>
      <c r="AH135">
        <v>2</v>
      </c>
      <c r="AI135">
        <v>1473082125</v>
      </c>
      <c r="AJ135">
        <v>50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ROW(Source!A509)</f>
        <v>509</v>
      </c>
      <c r="B136">
        <v>1473082130</v>
      </c>
      <c r="C136">
        <v>1473082123</v>
      </c>
      <c r="D136">
        <v>1441836186</v>
      </c>
      <c r="E136">
        <v>1</v>
      </c>
      <c r="F136">
        <v>1</v>
      </c>
      <c r="G136">
        <v>15514512</v>
      </c>
      <c r="H136">
        <v>3</v>
      </c>
      <c r="I136" t="s">
        <v>441</v>
      </c>
      <c r="J136" t="s">
        <v>442</v>
      </c>
      <c r="K136" t="s">
        <v>443</v>
      </c>
      <c r="L136">
        <v>1346</v>
      </c>
      <c r="N136">
        <v>1009</v>
      </c>
      <c r="O136" t="s">
        <v>401</v>
      </c>
      <c r="P136" t="s">
        <v>401</v>
      </c>
      <c r="Q136">
        <v>1</v>
      </c>
      <c r="X136">
        <v>0.01</v>
      </c>
      <c r="Y136">
        <v>494.57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28</v>
      </c>
      <c r="AG136">
        <v>0.04</v>
      </c>
      <c r="AH136">
        <v>2</v>
      </c>
      <c r="AI136">
        <v>1473082126</v>
      </c>
      <c r="AJ136">
        <v>51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ROW(Source!A509)</f>
        <v>509</v>
      </c>
      <c r="B137">
        <v>1473082131</v>
      </c>
      <c r="C137">
        <v>1473082123</v>
      </c>
      <c r="D137">
        <v>1441836230</v>
      </c>
      <c r="E137">
        <v>1</v>
      </c>
      <c r="F137">
        <v>1</v>
      </c>
      <c r="G137">
        <v>15514512</v>
      </c>
      <c r="H137">
        <v>3</v>
      </c>
      <c r="I137" t="s">
        <v>444</v>
      </c>
      <c r="J137" t="s">
        <v>445</v>
      </c>
      <c r="K137" t="s">
        <v>446</v>
      </c>
      <c r="L137">
        <v>1327</v>
      </c>
      <c r="N137">
        <v>1005</v>
      </c>
      <c r="O137" t="s">
        <v>430</v>
      </c>
      <c r="P137" t="s">
        <v>430</v>
      </c>
      <c r="Q137">
        <v>1</v>
      </c>
      <c r="X137">
        <v>0.02</v>
      </c>
      <c r="Y137">
        <v>46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28</v>
      </c>
      <c r="AG137">
        <v>0.08</v>
      </c>
      <c r="AH137">
        <v>2</v>
      </c>
      <c r="AI137">
        <v>1473082127</v>
      </c>
      <c r="AJ137">
        <v>52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ROW(Source!A510)</f>
        <v>510</v>
      </c>
      <c r="B138">
        <v>1473082136</v>
      </c>
      <c r="C138">
        <v>1473082132</v>
      </c>
      <c r="D138">
        <v>1441819193</v>
      </c>
      <c r="E138">
        <v>15514512</v>
      </c>
      <c r="F138">
        <v>1</v>
      </c>
      <c r="G138">
        <v>15514512</v>
      </c>
      <c r="H138">
        <v>1</v>
      </c>
      <c r="I138" t="s">
        <v>391</v>
      </c>
      <c r="J138" t="s">
        <v>3</v>
      </c>
      <c r="K138" t="s">
        <v>392</v>
      </c>
      <c r="L138">
        <v>1191</v>
      </c>
      <c r="N138">
        <v>1013</v>
      </c>
      <c r="O138" t="s">
        <v>393</v>
      </c>
      <c r="P138" t="s">
        <v>393</v>
      </c>
      <c r="Q138">
        <v>1</v>
      </c>
      <c r="X138">
        <v>0.3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1</v>
      </c>
      <c r="AF138" t="s">
        <v>181</v>
      </c>
      <c r="AG138">
        <v>0.6</v>
      </c>
      <c r="AH138">
        <v>2</v>
      </c>
      <c r="AI138">
        <v>1473082133</v>
      </c>
      <c r="AJ138">
        <v>53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ROW(Source!A510)</f>
        <v>510</v>
      </c>
      <c r="B139">
        <v>1473082137</v>
      </c>
      <c r="C139">
        <v>1473082132</v>
      </c>
      <c r="D139">
        <v>1441836235</v>
      </c>
      <c r="E139">
        <v>1</v>
      </c>
      <c r="F139">
        <v>1</v>
      </c>
      <c r="G139">
        <v>15514512</v>
      </c>
      <c r="H139">
        <v>3</v>
      </c>
      <c r="I139" t="s">
        <v>398</v>
      </c>
      <c r="J139" t="s">
        <v>399</v>
      </c>
      <c r="K139" t="s">
        <v>400</v>
      </c>
      <c r="L139">
        <v>1346</v>
      </c>
      <c r="N139">
        <v>1009</v>
      </c>
      <c r="O139" t="s">
        <v>401</v>
      </c>
      <c r="P139" t="s">
        <v>401</v>
      </c>
      <c r="Q139">
        <v>1</v>
      </c>
      <c r="X139">
        <v>0.05</v>
      </c>
      <c r="Y139">
        <v>31.49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181</v>
      </c>
      <c r="AG139">
        <v>0.1</v>
      </c>
      <c r="AH139">
        <v>2</v>
      </c>
      <c r="AI139">
        <v>1473082134</v>
      </c>
      <c r="AJ139">
        <v>54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ROW(Source!A510)</f>
        <v>510</v>
      </c>
      <c r="B140">
        <v>1473082138</v>
      </c>
      <c r="C140">
        <v>1473082132</v>
      </c>
      <c r="D140">
        <v>1441834628</v>
      </c>
      <c r="E140">
        <v>1</v>
      </c>
      <c r="F140">
        <v>1</v>
      </c>
      <c r="G140">
        <v>15514512</v>
      </c>
      <c r="H140">
        <v>3</v>
      </c>
      <c r="I140" t="s">
        <v>447</v>
      </c>
      <c r="J140" t="s">
        <v>448</v>
      </c>
      <c r="K140" t="s">
        <v>449</v>
      </c>
      <c r="L140">
        <v>1348</v>
      </c>
      <c r="N140">
        <v>1009</v>
      </c>
      <c r="O140" t="s">
        <v>412</v>
      </c>
      <c r="P140" t="s">
        <v>412</v>
      </c>
      <c r="Q140">
        <v>1000</v>
      </c>
      <c r="X140">
        <v>4.0000000000000003E-5</v>
      </c>
      <c r="Y140">
        <v>73951.73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181</v>
      </c>
      <c r="AG140">
        <v>8.0000000000000007E-5</v>
      </c>
      <c r="AH140">
        <v>2</v>
      </c>
      <c r="AI140">
        <v>1473082135</v>
      </c>
      <c r="AJ140">
        <v>55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ROW(Source!A511)</f>
        <v>511</v>
      </c>
      <c r="B141">
        <v>1473082144</v>
      </c>
      <c r="C141">
        <v>1473082139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391</v>
      </c>
      <c r="J141" t="s">
        <v>3</v>
      </c>
      <c r="K141" t="s">
        <v>392</v>
      </c>
      <c r="L141">
        <v>1191</v>
      </c>
      <c r="N141">
        <v>1013</v>
      </c>
      <c r="O141" t="s">
        <v>393</v>
      </c>
      <c r="P141" t="s">
        <v>393</v>
      </c>
      <c r="Q141">
        <v>1</v>
      </c>
      <c r="X141">
        <v>0.17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28</v>
      </c>
      <c r="AG141">
        <v>0.68</v>
      </c>
      <c r="AH141">
        <v>2</v>
      </c>
      <c r="AI141">
        <v>1473082140</v>
      </c>
      <c r="AJ141">
        <v>56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ROW(Source!A511)</f>
        <v>511</v>
      </c>
      <c r="B142">
        <v>1473082145</v>
      </c>
      <c r="C142">
        <v>1473082139</v>
      </c>
      <c r="D142">
        <v>1441834258</v>
      </c>
      <c r="E142">
        <v>1</v>
      </c>
      <c r="F142">
        <v>1</v>
      </c>
      <c r="G142">
        <v>15514512</v>
      </c>
      <c r="H142">
        <v>2</v>
      </c>
      <c r="I142" t="s">
        <v>394</v>
      </c>
      <c r="J142" t="s">
        <v>395</v>
      </c>
      <c r="K142" t="s">
        <v>396</v>
      </c>
      <c r="L142">
        <v>1368</v>
      </c>
      <c r="N142">
        <v>1011</v>
      </c>
      <c r="O142" t="s">
        <v>397</v>
      </c>
      <c r="P142" t="s">
        <v>397</v>
      </c>
      <c r="Q142">
        <v>1</v>
      </c>
      <c r="X142">
        <v>0.01</v>
      </c>
      <c r="Y142">
        <v>0</v>
      </c>
      <c r="Z142">
        <v>1303.01</v>
      </c>
      <c r="AA142">
        <v>826.2</v>
      </c>
      <c r="AB142">
        <v>0</v>
      </c>
      <c r="AC142">
        <v>0</v>
      </c>
      <c r="AD142">
        <v>1</v>
      </c>
      <c r="AE142">
        <v>0</v>
      </c>
      <c r="AF142" t="s">
        <v>28</v>
      </c>
      <c r="AG142">
        <v>0.04</v>
      </c>
      <c r="AH142">
        <v>2</v>
      </c>
      <c r="AI142">
        <v>1473082141</v>
      </c>
      <c r="AJ142">
        <v>57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ROW(Source!A511)</f>
        <v>511</v>
      </c>
      <c r="B143">
        <v>1473082146</v>
      </c>
      <c r="C143">
        <v>1473082139</v>
      </c>
      <c r="D143">
        <v>1441836186</v>
      </c>
      <c r="E143">
        <v>1</v>
      </c>
      <c r="F143">
        <v>1</v>
      </c>
      <c r="G143">
        <v>15514512</v>
      </c>
      <c r="H143">
        <v>3</v>
      </c>
      <c r="I143" t="s">
        <v>441</v>
      </c>
      <c r="J143" t="s">
        <v>442</v>
      </c>
      <c r="K143" t="s">
        <v>443</v>
      </c>
      <c r="L143">
        <v>1346</v>
      </c>
      <c r="N143">
        <v>1009</v>
      </c>
      <c r="O143" t="s">
        <v>401</v>
      </c>
      <c r="P143" t="s">
        <v>401</v>
      </c>
      <c r="Q143">
        <v>1</v>
      </c>
      <c r="X143">
        <v>0.01</v>
      </c>
      <c r="Y143">
        <v>494.57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28</v>
      </c>
      <c r="AG143">
        <v>0.04</v>
      </c>
      <c r="AH143">
        <v>2</v>
      </c>
      <c r="AI143">
        <v>1473082142</v>
      </c>
      <c r="AJ143">
        <v>58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ROW(Source!A511)</f>
        <v>511</v>
      </c>
      <c r="B144">
        <v>1473082147</v>
      </c>
      <c r="C144">
        <v>1473082139</v>
      </c>
      <c r="D144">
        <v>1441836230</v>
      </c>
      <c r="E144">
        <v>1</v>
      </c>
      <c r="F144">
        <v>1</v>
      </c>
      <c r="G144">
        <v>15514512</v>
      </c>
      <c r="H144">
        <v>3</v>
      </c>
      <c r="I144" t="s">
        <v>444</v>
      </c>
      <c r="J144" t="s">
        <v>445</v>
      </c>
      <c r="K144" t="s">
        <v>446</v>
      </c>
      <c r="L144">
        <v>1327</v>
      </c>
      <c r="N144">
        <v>1005</v>
      </c>
      <c r="O144" t="s">
        <v>430</v>
      </c>
      <c r="P144" t="s">
        <v>430</v>
      </c>
      <c r="Q144">
        <v>1</v>
      </c>
      <c r="X144">
        <v>0.02</v>
      </c>
      <c r="Y144">
        <v>46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28</v>
      </c>
      <c r="AG144">
        <v>0.08</v>
      </c>
      <c r="AH144">
        <v>2</v>
      </c>
      <c r="AI144">
        <v>1473082143</v>
      </c>
      <c r="AJ144">
        <v>59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ROW(Source!A512)</f>
        <v>512</v>
      </c>
      <c r="B145">
        <v>1473082152</v>
      </c>
      <c r="C145">
        <v>1473082148</v>
      </c>
      <c r="D145">
        <v>1441819193</v>
      </c>
      <c r="E145">
        <v>15514512</v>
      </c>
      <c r="F145">
        <v>1</v>
      </c>
      <c r="G145">
        <v>15514512</v>
      </c>
      <c r="H145">
        <v>1</v>
      </c>
      <c r="I145" t="s">
        <v>391</v>
      </c>
      <c r="J145" t="s">
        <v>3</v>
      </c>
      <c r="K145" t="s">
        <v>392</v>
      </c>
      <c r="L145">
        <v>1191</v>
      </c>
      <c r="N145">
        <v>1013</v>
      </c>
      <c r="O145" t="s">
        <v>393</v>
      </c>
      <c r="P145" t="s">
        <v>393</v>
      </c>
      <c r="Q145">
        <v>1</v>
      </c>
      <c r="X145">
        <v>0.3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181</v>
      </c>
      <c r="AG145">
        <v>0.6</v>
      </c>
      <c r="AH145">
        <v>2</v>
      </c>
      <c r="AI145">
        <v>1473082149</v>
      </c>
      <c r="AJ145">
        <v>60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ROW(Source!A512)</f>
        <v>512</v>
      </c>
      <c r="B146">
        <v>1473082153</v>
      </c>
      <c r="C146">
        <v>1473082148</v>
      </c>
      <c r="D146">
        <v>1441836235</v>
      </c>
      <c r="E146">
        <v>1</v>
      </c>
      <c r="F146">
        <v>1</v>
      </c>
      <c r="G146">
        <v>15514512</v>
      </c>
      <c r="H146">
        <v>3</v>
      </c>
      <c r="I146" t="s">
        <v>398</v>
      </c>
      <c r="J146" t="s">
        <v>399</v>
      </c>
      <c r="K146" t="s">
        <v>400</v>
      </c>
      <c r="L146">
        <v>1346</v>
      </c>
      <c r="N146">
        <v>1009</v>
      </c>
      <c r="O146" t="s">
        <v>401</v>
      </c>
      <c r="P146" t="s">
        <v>401</v>
      </c>
      <c r="Q146">
        <v>1</v>
      </c>
      <c r="X146">
        <v>0.05</v>
      </c>
      <c r="Y146">
        <v>31.49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181</v>
      </c>
      <c r="AG146">
        <v>0.1</v>
      </c>
      <c r="AH146">
        <v>2</v>
      </c>
      <c r="AI146">
        <v>1473082150</v>
      </c>
      <c r="AJ146">
        <v>61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ROW(Source!A512)</f>
        <v>512</v>
      </c>
      <c r="B147">
        <v>1473082154</v>
      </c>
      <c r="C147">
        <v>1473082148</v>
      </c>
      <c r="D147">
        <v>1441834628</v>
      </c>
      <c r="E147">
        <v>1</v>
      </c>
      <c r="F147">
        <v>1</v>
      </c>
      <c r="G147">
        <v>15514512</v>
      </c>
      <c r="H147">
        <v>3</v>
      </c>
      <c r="I147" t="s">
        <v>447</v>
      </c>
      <c r="J147" t="s">
        <v>448</v>
      </c>
      <c r="K147" t="s">
        <v>449</v>
      </c>
      <c r="L147">
        <v>1348</v>
      </c>
      <c r="N147">
        <v>1009</v>
      </c>
      <c r="O147" t="s">
        <v>412</v>
      </c>
      <c r="P147" t="s">
        <v>412</v>
      </c>
      <c r="Q147">
        <v>1000</v>
      </c>
      <c r="X147">
        <v>4.0000000000000003E-5</v>
      </c>
      <c r="Y147">
        <v>73951.73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181</v>
      </c>
      <c r="AG147">
        <v>8.0000000000000007E-5</v>
      </c>
      <c r="AH147">
        <v>2</v>
      </c>
      <c r="AI147">
        <v>1473082151</v>
      </c>
      <c r="AJ147">
        <v>62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ROW(Source!A513)</f>
        <v>513</v>
      </c>
      <c r="B148">
        <v>1473082157</v>
      </c>
      <c r="C148">
        <v>1473082155</v>
      </c>
      <c r="D148">
        <v>1441819193</v>
      </c>
      <c r="E148">
        <v>15514512</v>
      </c>
      <c r="F148">
        <v>1</v>
      </c>
      <c r="G148">
        <v>15514512</v>
      </c>
      <c r="H148">
        <v>1</v>
      </c>
      <c r="I148" t="s">
        <v>391</v>
      </c>
      <c r="J148" t="s">
        <v>3</v>
      </c>
      <c r="K148" t="s">
        <v>392</v>
      </c>
      <c r="L148">
        <v>1191</v>
      </c>
      <c r="N148">
        <v>1013</v>
      </c>
      <c r="O148" t="s">
        <v>393</v>
      </c>
      <c r="P148" t="s">
        <v>393</v>
      </c>
      <c r="Q148">
        <v>1</v>
      </c>
      <c r="X148">
        <v>0.56000000000000005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163</v>
      </c>
      <c r="AG148">
        <v>1.6800000000000002</v>
      </c>
      <c r="AH148">
        <v>2</v>
      </c>
      <c r="AI148">
        <v>1473082156</v>
      </c>
      <c r="AJ148">
        <v>63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ROW(Source!A514)</f>
        <v>514</v>
      </c>
      <c r="B149">
        <v>1473082160</v>
      </c>
      <c r="C149">
        <v>1473082158</v>
      </c>
      <c r="D149">
        <v>1441819193</v>
      </c>
      <c r="E149">
        <v>15514512</v>
      </c>
      <c r="F149">
        <v>1</v>
      </c>
      <c r="G149">
        <v>15514512</v>
      </c>
      <c r="H149">
        <v>1</v>
      </c>
      <c r="I149" t="s">
        <v>391</v>
      </c>
      <c r="J149" t="s">
        <v>3</v>
      </c>
      <c r="K149" t="s">
        <v>392</v>
      </c>
      <c r="L149">
        <v>1191</v>
      </c>
      <c r="N149">
        <v>1013</v>
      </c>
      <c r="O149" t="s">
        <v>393</v>
      </c>
      <c r="P149" t="s">
        <v>393</v>
      </c>
      <c r="Q149">
        <v>1</v>
      </c>
      <c r="X149">
        <v>0.16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3</v>
      </c>
      <c r="AG149">
        <v>0.16</v>
      </c>
      <c r="AH149">
        <v>2</v>
      </c>
      <c r="AI149">
        <v>1473082159</v>
      </c>
      <c r="AJ149">
        <v>64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ROW(Source!A515)</f>
        <v>515</v>
      </c>
      <c r="B150">
        <v>1473082165</v>
      </c>
      <c r="C150">
        <v>1473082161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391</v>
      </c>
      <c r="J150" t="s">
        <v>3</v>
      </c>
      <c r="K150" t="s">
        <v>392</v>
      </c>
      <c r="L150">
        <v>1191</v>
      </c>
      <c r="N150">
        <v>1013</v>
      </c>
      <c r="O150" t="s">
        <v>393</v>
      </c>
      <c r="P150" t="s">
        <v>393</v>
      </c>
      <c r="Q150">
        <v>1</v>
      </c>
      <c r="X150">
        <v>0.3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181</v>
      </c>
      <c r="AG150">
        <v>0.6</v>
      </c>
      <c r="AH150">
        <v>2</v>
      </c>
      <c r="AI150">
        <v>1473082162</v>
      </c>
      <c r="AJ150">
        <v>65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ROW(Source!A515)</f>
        <v>515</v>
      </c>
      <c r="B151">
        <v>1473082166</v>
      </c>
      <c r="C151">
        <v>1473082161</v>
      </c>
      <c r="D151">
        <v>1441836235</v>
      </c>
      <c r="E151">
        <v>1</v>
      </c>
      <c r="F151">
        <v>1</v>
      </c>
      <c r="G151">
        <v>15514512</v>
      </c>
      <c r="H151">
        <v>3</v>
      </c>
      <c r="I151" t="s">
        <v>398</v>
      </c>
      <c r="J151" t="s">
        <v>399</v>
      </c>
      <c r="K151" t="s">
        <v>400</v>
      </c>
      <c r="L151">
        <v>1346</v>
      </c>
      <c r="N151">
        <v>1009</v>
      </c>
      <c r="O151" t="s">
        <v>401</v>
      </c>
      <c r="P151" t="s">
        <v>401</v>
      </c>
      <c r="Q151">
        <v>1</v>
      </c>
      <c r="X151">
        <v>0.05</v>
      </c>
      <c r="Y151">
        <v>31.49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181</v>
      </c>
      <c r="AG151">
        <v>0.1</v>
      </c>
      <c r="AH151">
        <v>2</v>
      </c>
      <c r="AI151">
        <v>1473082163</v>
      </c>
      <c r="AJ151">
        <v>66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ROW(Source!A515)</f>
        <v>515</v>
      </c>
      <c r="B152">
        <v>1473082167</v>
      </c>
      <c r="C152">
        <v>1473082161</v>
      </c>
      <c r="D152">
        <v>1441834628</v>
      </c>
      <c r="E152">
        <v>1</v>
      </c>
      <c r="F152">
        <v>1</v>
      </c>
      <c r="G152">
        <v>15514512</v>
      </c>
      <c r="H152">
        <v>3</v>
      </c>
      <c r="I152" t="s">
        <v>447</v>
      </c>
      <c r="J152" t="s">
        <v>448</v>
      </c>
      <c r="K152" t="s">
        <v>449</v>
      </c>
      <c r="L152">
        <v>1348</v>
      </c>
      <c r="N152">
        <v>1009</v>
      </c>
      <c r="O152" t="s">
        <v>412</v>
      </c>
      <c r="P152" t="s">
        <v>412</v>
      </c>
      <c r="Q152">
        <v>1000</v>
      </c>
      <c r="X152">
        <v>4.0000000000000003E-5</v>
      </c>
      <c r="Y152">
        <v>73951.73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181</v>
      </c>
      <c r="AG152">
        <v>8.0000000000000007E-5</v>
      </c>
      <c r="AH152">
        <v>2</v>
      </c>
      <c r="AI152">
        <v>1473082164</v>
      </c>
      <c r="AJ152">
        <v>67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ROW(Source!A516)</f>
        <v>516</v>
      </c>
      <c r="B153">
        <v>1473082173</v>
      </c>
      <c r="C153">
        <v>1473082168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391</v>
      </c>
      <c r="J153" t="s">
        <v>3</v>
      </c>
      <c r="K153" t="s">
        <v>392</v>
      </c>
      <c r="L153">
        <v>1191</v>
      </c>
      <c r="N153">
        <v>1013</v>
      </c>
      <c r="O153" t="s">
        <v>393</v>
      </c>
      <c r="P153" t="s">
        <v>393</v>
      </c>
      <c r="Q153">
        <v>1</v>
      </c>
      <c r="X153">
        <v>0.17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28</v>
      </c>
      <c r="AG153">
        <v>0.68</v>
      </c>
      <c r="AH153">
        <v>2</v>
      </c>
      <c r="AI153">
        <v>1473082169</v>
      </c>
      <c r="AJ153">
        <v>68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ROW(Source!A516)</f>
        <v>516</v>
      </c>
      <c r="B154">
        <v>1473082174</v>
      </c>
      <c r="C154">
        <v>1473082168</v>
      </c>
      <c r="D154">
        <v>1441834258</v>
      </c>
      <c r="E154">
        <v>1</v>
      </c>
      <c r="F154">
        <v>1</v>
      </c>
      <c r="G154">
        <v>15514512</v>
      </c>
      <c r="H154">
        <v>2</v>
      </c>
      <c r="I154" t="s">
        <v>394</v>
      </c>
      <c r="J154" t="s">
        <v>395</v>
      </c>
      <c r="K154" t="s">
        <v>396</v>
      </c>
      <c r="L154">
        <v>1368</v>
      </c>
      <c r="N154">
        <v>1011</v>
      </c>
      <c r="O154" t="s">
        <v>397</v>
      </c>
      <c r="P154" t="s">
        <v>397</v>
      </c>
      <c r="Q154">
        <v>1</v>
      </c>
      <c r="X154">
        <v>0.01</v>
      </c>
      <c r="Y154">
        <v>0</v>
      </c>
      <c r="Z154">
        <v>1303.01</v>
      </c>
      <c r="AA154">
        <v>826.2</v>
      </c>
      <c r="AB154">
        <v>0</v>
      </c>
      <c r="AC154">
        <v>0</v>
      </c>
      <c r="AD154">
        <v>1</v>
      </c>
      <c r="AE154">
        <v>0</v>
      </c>
      <c r="AF154" t="s">
        <v>28</v>
      </c>
      <c r="AG154">
        <v>0.04</v>
      </c>
      <c r="AH154">
        <v>2</v>
      </c>
      <c r="AI154">
        <v>1473082170</v>
      </c>
      <c r="AJ154">
        <v>69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ROW(Source!A516)</f>
        <v>516</v>
      </c>
      <c r="B155">
        <v>1473082175</v>
      </c>
      <c r="C155">
        <v>1473082168</v>
      </c>
      <c r="D155">
        <v>1441836186</v>
      </c>
      <c r="E155">
        <v>1</v>
      </c>
      <c r="F155">
        <v>1</v>
      </c>
      <c r="G155">
        <v>15514512</v>
      </c>
      <c r="H155">
        <v>3</v>
      </c>
      <c r="I155" t="s">
        <v>441</v>
      </c>
      <c r="J155" t="s">
        <v>442</v>
      </c>
      <c r="K155" t="s">
        <v>443</v>
      </c>
      <c r="L155">
        <v>1346</v>
      </c>
      <c r="N155">
        <v>1009</v>
      </c>
      <c r="O155" t="s">
        <v>401</v>
      </c>
      <c r="P155" t="s">
        <v>401</v>
      </c>
      <c r="Q155">
        <v>1</v>
      </c>
      <c r="X155">
        <v>0.01</v>
      </c>
      <c r="Y155">
        <v>494.57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28</v>
      </c>
      <c r="AG155">
        <v>0.04</v>
      </c>
      <c r="AH155">
        <v>2</v>
      </c>
      <c r="AI155">
        <v>1473082171</v>
      </c>
      <c r="AJ155">
        <v>70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ROW(Source!A516)</f>
        <v>516</v>
      </c>
      <c r="B156">
        <v>1473082176</v>
      </c>
      <c r="C156">
        <v>1473082168</v>
      </c>
      <c r="D156">
        <v>1441836230</v>
      </c>
      <c r="E156">
        <v>1</v>
      </c>
      <c r="F156">
        <v>1</v>
      </c>
      <c r="G156">
        <v>15514512</v>
      </c>
      <c r="H156">
        <v>3</v>
      </c>
      <c r="I156" t="s">
        <v>444</v>
      </c>
      <c r="J156" t="s">
        <v>445</v>
      </c>
      <c r="K156" t="s">
        <v>446</v>
      </c>
      <c r="L156">
        <v>1327</v>
      </c>
      <c r="N156">
        <v>1005</v>
      </c>
      <c r="O156" t="s">
        <v>430</v>
      </c>
      <c r="P156" t="s">
        <v>430</v>
      </c>
      <c r="Q156">
        <v>1</v>
      </c>
      <c r="X156">
        <v>0.02</v>
      </c>
      <c r="Y156">
        <v>46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28</v>
      </c>
      <c r="AG156">
        <v>0.08</v>
      </c>
      <c r="AH156">
        <v>2</v>
      </c>
      <c r="AI156">
        <v>1473082172</v>
      </c>
      <c r="AJ156">
        <v>71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ROW(Source!A517)</f>
        <v>517</v>
      </c>
      <c r="B157">
        <v>1473082181</v>
      </c>
      <c r="C157">
        <v>1473082177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391</v>
      </c>
      <c r="J157" t="s">
        <v>3</v>
      </c>
      <c r="K157" t="s">
        <v>392</v>
      </c>
      <c r="L157">
        <v>1191</v>
      </c>
      <c r="N157">
        <v>1013</v>
      </c>
      <c r="O157" t="s">
        <v>393</v>
      </c>
      <c r="P157" t="s">
        <v>393</v>
      </c>
      <c r="Q157">
        <v>1</v>
      </c>
      <c r="X157">
        <v>0.3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181</v>
      </c>
      <c r="AG157">
        <v>0.6</v>
      </c>
      <c r="AH157">
        <v>2</v>
      </c>
      <c r="AI157">
        <v>1473082178</v>
      </c>
      <c r="AJ157">
        <v>72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ROW(Source!A517)</f>
        <v>517</v>
      </c>
      <c r="B158">
        <v>1473082182</v>
      </c>
      <c r="C158">
        <v>1473082177</v>
      </c>
      <c r="D158">
        <v>1441836235</v>
      </c>
      <c r="E158">
        <v>1</v>
      </c>
      <c r="F158">
        <v>1</v>
      </c>
      <c r="G158">
        <v>15514512</v>
      </c>
      <c r="H158">
        <v>3</v>
      </c>
      <c r="I158" t="s">
        <v>398</v>
      </c>
      <c r="J158" t="s">
        <v>399</v>
      </c>
      <c r="K158" t="s">
        <v>400</v>
      </c>
      <c r="L158">
        <v>1346</v>
      </c>
      <c r="N158">
        <v>1009</v>
      </c>
      <c r="O158" t="s">
        <v>401</v>
      </c>
      <c r="P158" t="s">
        <v>401</v>
      </c>
      <c r="Q158">
        <v>1</v>
      </c>
      <c r="X158">
        <v>0.05</v>
      </c>
      <c r="Y158">
        <v>31.49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181</v>
      </c>
      <c r="AG158">
        <v>0.1</v>
      </c>
      <c r="AH158">
        <v>2</v>
      </c>
      <c r="AI158">
        <v>1473082179</v>
      </c>
      <c r="AJ158">
        <v>73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ROW(Source!A517)</f>
        <v>517</v>
      </c>
      <c r="B159">
        <v>1473082183</v>
      </c>
      <c r="C159">
        <v>1473082177</v>
      </c>
      <c r="D159">
        <v>1441834628</v>
      </c>
      <c r="E159">
        <v>1</v>
      </c>
      <c r="F159">
        <v>1</v>
      </c>
      <c r="G159">
        <v>15514512</v>
      </c>
      <c r="H159">
        <v>3</v>
      </c>
      <c r="I159" t="s">
        <v>447</v>
      </c>
      <c r="J159" t="s">
        <v>448</v>
      </c>
      <c r="K159" t="s">
        <v>449</v>
      </c>
      <c r="L159">
        <v>1348</v>
      </c>
      <c r="N159">
        <v>1009</v>
      </c>
      <c r="O159" t="s">
        <v>412</v>
      </c>
      <c r="P159" t="s">
        <v>412</v>
      </c>
      <c r="Q159">
        <v>1000</v>
      </c>
      <c r="X159">
        <v>4.0000000000000003E-5</v>
      </c>
      <c r="Y159">
        <v>73951.73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181</v>
      </c>
      <c r="AG159">
        <v>8.0000000000000007E-5</v>
      </c>
      <c r="AH159">
        <v>2</v>
      </c>
      <c r="AI159">
        <v>1473082180</v>
      </c>
      <c r="AJ159">
        <v>74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ROW(Source!A518)</f>
        <v>518</v>
      </c>
      <c r="B160">
        <v>1473082186</v>
      </c>
      <c r="C160">
        <v>1473082184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391</v>
      </c>
      <c r="J160" t="s">
        <v>3</v>
      </c>
      <c r="K160" t="s">
        <v>392</v>
      </c>
      <c r="L160">
        <v>1191</v>
      </c>
      <c r="N160">
        <v>1013</v>
      </c>
      <c r="O160" t="s">
        <v>393</v>
      </c>
      <c r="P160" t="s">
        <v>393</v>
      </c>
      <c r="Q160">
        <v>1</v>
      </c>
      <c r="X160">
        <v>0.56000000000000005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163</v>
      </c>
      <c r="AG160">
        <v>1.6800000000000002</v>
      </c>
      <c r="AH160">
        <v>2</v>
      </c>
      <c r="AI160">
        <v>1473082185</v>
      </c>
      <c r="AJ160">
        <v>75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ROW(Source!A519)</f>
        <v>519</v>
      </c>
      <c r="B161">
        <v>1473082189</v>
      </c>
      <c r="C161">
        <v>1473082187</v>
      </c>
      <c r="D161">
        <v>1441819193</v>
      </c>
      <c r="E161">
        <v>15514512</v>
      </c>
      <c r="F161">
        <v>1</v>
      </c>
      <c r="G161">
        <v>15514512</v>
      </c>
      <c r="H161">
        <v>1</v>
      </c>
      <c r="I161" t="s">
        <v>391</v>
      </c>
      <c r="J161" t="s">
        <v>3</v>
      </c>
      <c r="K161" t="s">
        <v>392</v>
      </c>
      <c r="L161">
        <v>1191</v>
      </c>
      <c r="N161">
        <v>1013</v>
      </c>
      <c r="O161" t="s">
        <v>393</v>
      </c>
      <c r="P161" t="s">
        <v>393</v>
      </c>
      <c r="Q161">
        <v>1</v>
      </c>
      <c r="X161">
        <v>0.16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3</v>
      </c>
      <c r="AG161">
        <v>0.16</v>
      </c>
      <c r="AH161">
        <v>2</v>
      </c>
      <c r="AI161">
        <v>1473082188</v>
      </c>
      <c r="AJ161">
        <v>76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ROW(Source!A520)</f>
        <v>520</v>
      </c>
      <c r="B162">
        <v>1473082194</v>
      </c>
      <c r="C162">
        <v>1473082190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391</v>
      </c>
      <c r="J162" t="s">
        <v>3</v>
      </c>
      <c r="K162" t="s">
        <v>392</v>
      </c>
      <c r="L162">
        <v>1191</v>
      </c>
      <c r="N162">
        <v>1013</v>
      </c>
      <c r="O162" t="s">
        <v>393</v>
      </c>
      <c r="P162" t="s">
        <v>393</v>
      </c>
      <c r="Q162">
        <v>1</v>
      </c>
      <c r="X162">
        <v>0.3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181</v>
      </c>
      <c r="AG162">
        <v>0.6</v>
      </c>
      <c r="AH162">
        <v>2</v>
      </c>
      <c r="AI162">
        <v>1473082191</v>
      </c>
      <c r="AJ162">
        <v>77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ROW(Source!A520)</f>
        <v>520</v>
      </c>
      <c r="B163">
        <v>1473082195</v>
      </c>
      <c r="C163">
        <v>1473082190</v>
      </c>
      <c r="D163">
        <v>1441836235</v>
      </c>
      <c r="E163">
        <v>1</v>
      </c>
      <c r="F163">
        <v>1</v>
      </c>
      <c r="G163">
        <v>15514512</v>
      </c>
      <c r="H163">
        <v>3</v>
      </c>
      <c r="I163" t="s">
        <v>398</v>
      </c>
      <c r="J163" t="s">
        <v>399</v>
      </c>
      <c r="K163" t="s">
        <v>400</v>
      </c>
      <c r="L163">
        <v>1346</v>
      </c>
      <c r="N163">
        <v>1009</v>
      </c>
      <c r="O163" t="s">
        <v>401</v>
      </c>
      <c r="P163" t="s">
        <v>401</v>
      </c>
      <c r="Q163">
        <v>1</v>
      </c>
      <c r="X163">
        <v>0.05</v>
      </c>
      <c r="Y163">
        <v>31.49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181</v>
      </c>
      <c r="AG163">
        <v>0.1</v>
      </c>
      <c r="AH163">
        <v>2</v>
      </c>
      <c r="AI163">
        <v>1473082192</v>
      </c>
      <c r="AJ163">
        <v>78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ROW(Source!A520)</f>
        <v>520</v>
      </c>
      <c r="B164">
        <v>1473082196</v>
      </c>
      <c r="C164">
        <v>1473082190</v>
      </c>
      <c r="D164">
        <v>1441834628</v>
      </c>
      <c r="E164">
        <v>1</v>
      </c>
      <c r="F164">
        <v>1</v>
      </c>
      <c r="G164">
        <v>15514512</v>
      </c>
      <c r="H164">
        <v>3</v>
      </c>
      <c r="I164" t="s">
        <v>447</v>
      </c>
      <c r="J164" t="s">
        <v>448</v>
      </c>
      <c r="K164" t="s">
        <v>449</v>
      </c>
      <c r="L164">
        <v>1348</v>
      </c>
      <c r="N164">
        <v>1009</v>
      </c>
      <c r="O164" t="s">
        <v>412</v>
      </c>
      <c r="P164" t="s">
        <v>412</v>
      </c>
      <c r="Q164">
        <v>1000</v>
      </c>
      <c r="X164">
        <v>4.0000000000000003E-5</v>
      </c>
      <c r="Y164">
        <v>73951.73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181</v>
      </c>
      <c r="AG164">
        <v>8.0000000000000007E-5</v>
      </c>
      <c r="AH164">
        <v>2</v>
      </c>
      <c r="AI164">
        <v>1473082193</v>
      </c>
      <c r="AJ164">
        <v>79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ROW(Source!A521)</f>
        <v>521</v>
      </c>
      <c r="B165">
        <v>1473082202</v>
      </c>
      <c r="C165">
        <v>1473082197</v>
      </c>
      <c r="D165">
        <v>1441819193</v>
      </c>
      <c r="E165">
        <v>15514512</v>
      </c>
      <c r="F165">
        <v>1</v>
      </c>
      <c r="G165">
        <v>15514512</v>
      </c>
      <c r="H165">
        <v>1</v>
      </c>
      <c r="I165" t="s">
        <v>391</v>
      </c>
      <c r="J165" t="s">
        <v>3</v>
      </c>
      <c r="K165" t="s">
        <v>392</v>
      </c>
      <c r="L165">
        <v>1191</v>
      </c>
      <c r="N165">
        <v>1013</v>
      </c>
      <c r="O165" t="s">
        <v>393</v>
      </c>
      <c r="P165" t="s">
        <v>393</v>
      </c>
      <c r="Q165">
        <v>1</v>
      </c>
      <c r="X165">
        <v>0.17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1</v>
      </c>
      <c r="AF165" t="s">
        <v>28</v>
      </c>
      <c r="AG165">
        <v>0.68</v>
      </c>
      <c r="AH165">
        <v>2</v>
      </c>
      <c r="AI165">
        <v>1473082198</v>
      </c>
      <c r="AJ165">
        <v>80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ROW(Source!A521)</f>
        <v>521</v>
      </c>
      <c r="B166">
        <v>1473082203</v>
      </c>
      <c r="C166">
        <v>1473082197</v>
      </c>
      <c r="D166">
        <v>1441834258</v>
      </c>
      <c r="E166">
        <v>1</v>
      </c>
      <c r="F166">
        <v>1</v>
      </c>
      <c r="G166">
        <v>15514512</v>
      </c>
      <c r="H166">
        <v>2</v>
      </c>
      <c r="I166" t="s">
        <v>394</v>
      </c>
      <c r="J166" t="s">
        <v>395</v>
      </c>
      <c r="K166" t="s">
        <v>396</v>
      </c>
      <c r="L166">
        <v>1368</v>
      </c>
      <c r="N166">
        <v>1011</v>
      </c>
      <c r="O166" t="s">
        <v>397</v>
      </c>
      <c r="P166" t="s">
        <v>397</v>
      </c>
      <c r="Q166">
        <v>1</v>
      </c>
      <c r="X166">
        <v>0.01</v>
      </c>
      <c r="Y166">
        <v>0</v>
      </c>
      <c r="Z166">
        <v>1303.01</v>
      </c>
      <c r="AA166">
        <v>826.2</v>
      </c>
      <c r="AB166">
        <v>0</v>
      </c>
      <c r="AC166">
        <v>0</v>
      </c>
      <c r="AD166">
        <v>1</v>
      </c>
      <c r="AE166">
        <v>0</v>
      </c>
      <c r="AF166" t="s">
        <v>28</v>
      </c>
      <c r="AG166">
        <v>0.04</v>
      </c>
      <c r="AH166">
        <v>2</v>
      </c>
      <c r="AI166">
        <v>1473082199</v>
      </c>
      <c r="AJ166">
        <v>81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ROW(Source!A521)</f>
        <v>521</v>
      </c>
      <c r="B167">
        <v>1473082204</v>
      </c>
      <c r="C167">
        <v>1473082197</v>
      </c>
      <c r="D167">
        <v>1441836186</v>
      </c>
      <c r="E167">
        <v>1</v>
      </c>
      <c r="F167">
        <v>1</v>
      </c>
      <c r="G167">
        <v>15514512</v>
      </c>
      <c r="H167">
        <v>3</v>
      </c>
      <c r="I167" t="s">
        <v>441</v>
      </c>
      <c r="J167" t="s">
        <v>442</v>
      </c>
      <c r="K167" t="s">
        <v>443</v>
      </c>
      <c r="L167">
        <v>1346</v>
      </c>
      <c r="N167">
        <v>1009</v>
      </c>
      <c r="O167" t="s">
        <v>401</v>
      </c>
      <c r="P167" t="s">
        <v>401</v>
      </c>
      <c r="Q167">
        <v>1</v>
      </c>
      <c r="X167">
        <v>0.01</v>
      </c>
      <c r="Y167">
        <v>494.57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28</v>
      </c>
      <c r="AG167">
        <v>0.04</v>
      </c>
      <c r="AH167">
        <v>2</v>
      </c>
      <c r="AI167">
        <v>1473082200</v>
      </c>
      <c r="AJ167">
        <v>82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ROW(Source!A521)</f>
        <v>521</v>
      </c>
      <c r="B168">
        <v>1473082205</v>
      </c>
      <c r="C168">
        <v>1473082197</v>
      </c>
      <c r="D168">
        <v>1441836230</v>
      </c>
      <c r="E168">
        <v>1</v>
      </c>
      <c r="F168">
        <v>1</v>
      </c>
      <c r="G168">
        <v>15514512</v>
      </c>
      <c r="H168">
        <v>3</v>
      </c>
      <c r="I168" t="s">
        <v>444</v>
      </c>
      <c r="J168" t="s">
        <v>445</v>
      </c>
      <c r="K168" t="s">
        <v>446</v>
      </c>
      <c r="L168">
        <v>1327</v>
      </c>
      <c r="N168">
        <v>1005</v>
      </c>
      <c r="O168" t="s">
        <v>430</v>
      </c>
      <c r="P168" t="s">
        <v>430</v>
      </c>
      <c r="Q168">
        <v>1</v>
      </c>
      <c r="X168">
        <v>0.02</v>
      </c>
      <c r="Y168">
        <v>46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28</v>
      </c>
      <c r="AG168">
        <v>0.08</v>
      </c>
      <c r="AH168">
        <v>2</v>
      </c>
      <c r="AI168">
        <v>1473082201</v>
      </c>
      <c r="AJ168">
        <v>83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ROW(Source!A522)</f>
        <v>522</v>
      </c>
      <c r="B169">
        <v>1473082210</v>
      </c>
      <c r="C169">
        <v>1473082206</v>
      </c>
      <c r="D169">
        <v>1441819193</v>
      </c>
      <c r="E169">
        <v>15514512</v>
      </c>
      <c r="F169">
        <v>1</v>
      </c>
      <c r="G169">
        <v>15514512</v>
      </c>
      <c r="H169">
        <v>1</v>
      </c>
      <c r="I169" t="s">
        <v>391</v>
      </c>
      <c r="J169" t="s">
        <v>3</v>
      </c>
      <c r="K169" t="s">
        <v>392</v>
      </c>
      <c r="L169">
        <v>1191</v>
      </c>
      <c r="N169">
        <v>1013</v>
      </c>
      <c r="O169" t="s">
        <v>393</v>
      </c>
      <c r="P169" t="s">
        <v>393</v>
      </c>
      <c r="Q169">
        <v>1</v>
      </c>
      <c r="X169">
        <v>0.3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181</v>
      </c>
      <c r="AG169">
        <v>0.6</v>
      </c>
      <c r="AH169">
        <v>2</v>
      </c>
      <c r="AI169">
        <v>1473082207</v>
      </c>
      <c r="AJ169">
        <v>84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ROW(Source!A522)</f>
        <v>522</v>
      </c>
      <c r="B170">
        <v>1473082211</v>
      </c>
      <c r="C170">
        <v>1473082206</v>
      </c>
      <c r="D170">
        <v>1441836235</v>
      </c>
      <c r="E170">
        <v>1</v>
      </c>
      <c r="F170">
        <v>1</v>
      </c>
      <c r="G170">
        <v>15514512</v>
      </c>
      <c r="H170">
        <v>3</v>
      </c>
      <c r="I170" t="s">
        <v>398</v>
      </c>
      <c r="J170" t="s">
        <v>399</v>
      </c>
      <c r="K170" t="s">
        <v>400</v>
      </c>
      <c r="L170">
        <v>1346</v>
      </c>
      <c r="N170">
        <v>1009</v>
      </c>
      <c r="O170" t="s">
        <v>401</v>
      </c>
      <c r="P170" t="s">
        <v>401</v>
      </c>
      <c r="Q170">
        <v>1</v>
      </c>
      <c r="X170">
        <v>0.05</v>
      </c>
      <c r="Y170">
        <v>31.49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181</v>
      </c>
      <c r="AG170">
        <v>0.1</v>
      </c>
      <c r="AH170">
        <v>2</v>
      </c>
      <c r="AI170">
        <v>1473082208</v>
      </c>
      <c r="AJ170">
        <v>85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ROW(Source!A522)</f>
        <v>522</v>
      </c>
      <c r="B171">
        <v>1473082212</v>
      </c>
      <c r="C171">
        <v>1473082206</v>
      </c>
      <c r="D171">
        <v>1441834628</v>
      </c>
      <c r="E171">
        <v>1</v>
      </c>
      <c r="F171">
        <v>1</v>
      </c>
      <c r="G171">
        <v>15514512</v>
      </c>
      <c r="H171">
        <v>3</v>
      </c>
      <c r="I171" t="s">
        <v>447</v>
      </c>
      <c r="J171" t="s">
        <v>448</v>
      </c>
      <c r="K171" t="s">
        <v>449</v>
      </c>
      <c r="L171">
        <v>1348</v>
      </c>
      <c r="N171">
        <v>1009</v>
      </c>
      <c r="O171" t="s">
        <v>412</v>
      </c>
      <c r="P171" t="s">
        <v>412</v>
      </c>
      <c r="Q171">
        <v>1000</v>
      </c>
      <c r="X171">
        <v>4.0000000000000003E-5</v>
      </c>
      <c r="Y171">
        <v>73951.73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181</v>
      </c>
      <c r="AG171">
        <v>8.0000000000000007E-5</v>
      </c>
      <c r="AH171">
        <v>2</v>
      </c>
      <c r="AI171">
        <v>1473082209</v>
      </c>
      <c r="AJ171">
        <v>86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ROW(Source!A523)</f>
        <v>523</v>
      </c>
      <c r="B172">
        <v>1473082215</v>
      </c>
      <c r="C172">
        <v>1473082213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391</v>
      </c>
      <c r="J172" t="s">
        <v>3</v>
      </c>
      <c r="K172" t="s">
        <v>392</v>
      </c>
      <c r="L172">
        <v>1191</v>
      </c>
      <c r="N172">
        <v>1013</v>
      </c>
      <c r="O172" t="s">
        <v>393</v>
      </c>
      <c r="P172" t="s">
        <v>393</v>
      </c>
      <c r="Q172">
        <v>1</v>
      </c>
      <c r="X172">
        <v>0.56000000000000005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163</v>
      </c>
      <c r="AG172">
        <v>1.6800000000000002</v>
      </c>
      <c r="AH172">
        <v>2</v>
      </c>
      <c r="AI172">
        <v>1473082214</v>
      </c>
      <c r="AJ172">
        <v>87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ROW(Source!A524)</f>
        <v>524</v>
      </c>
      <c r="B173">
        <v>1473082218</v>
      </c>
      <c r="C173">
        <v>1473082216</v>
      </c>
      <c r="D173">
        <v>1441819193</v>
      </c>
      <c r="E173">
        <v>15514512</v>
      </c>
      <c r="F173">
        <v>1</v>
      </c>
      <c r="G173">
        <v>15514512</v>
      </c>
      <c r="H173">
        <v>1</v>
      </c>
      <c r="I173" t="s">
        <v>391</v>
      </c>
      <c r="J173" t="s">
        <v>3</v>
      </c>
      <c r="K173" t="s">
        <v>392</v>
      </c>
      <c r="L173">
        <v>1191</v>
      </c>
      <c r="N173">
        <v>1013</v>
      </c>
      <c r="O173" t="s">
        <v>393</v>
      </c>
      <c r="P173" t="s">
        <v>393</v>
      </c>
      <c r="Q173">
        <v>1</v>
      </c>
      <c r="X173">
        <v>0.16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0.16</v>
      </c>
      <c r="AH173">
        <v>2</v>
      </c>
      <c r="AI173">
        <v>1473082217</v>
      </c>
      <c r="AJ173">
        <v>88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ROW(Source!A525)</f>
        <v>525</v>
      </c>
      <c r="B174">
        <v>1473082223</v>
      </c>
      <c r="C174">
        <v>1473082219</v>
      </c>
      <c r="D174">
        <v>1441819193</v>
      </c>
      <c r="E174">
        <v>15514512</v>
      </c>
      <c r="F174">
        <v>1</v>
      </c>
      <c r="G174">
        <v>15514512</v>
      </c>
      <c r="H174">
        <v>1</v>
      </c>
      <c r="I174" t="s">
        <v>391</v>
      </c>
      <c r="J174" t="s">
        <v>3</v>
      </c>
      <c r="K174" t="s">
        <v>392</v>
      </c>
      <c r="L174">
        <v>1191</v>
      </c>
      <c r="N174">
        <v>1013</v>
      </c>
      <c r="O174" t="s">
        <v>393</v>
      </c>
      <c r="P174" t="s">
        <v>393</v>
      </c>
      <c r="Q174">
        <v>1</v>
      </c>
      <c r="X174">
        <v>0.3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181</v>
      </c>
      <c r="AG174">
        <v>0.6</v>
      </c>
      <c r="AH174">
        <v>2</v>
      </c>
      <c r="AI174">
        <v>1473082220</v>
      </c>
      <c r="AJ174">
        <v>89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ROW(Source!A525)</f>
        <v>525</v>
      </c>
      <c r="B175">
        <v>1473082224</v>
      </c>
      <c r="C175">
        <v>1473082219</v>
      </c>
      <c r="D175">
        <v>1441836235</v>
      </c>
      <c r="E175">
        <v>1</v>
      </c>
      <c r="F175">
        <v>1</v>
      </c>
      <c r="G175">
        <v>15514512</v>
      </c>
      <c r="H175">
        <v>3</v>
      </c>
      <c r="I175" t="s">
        <v>398</v>
      </c>
      <c r="J175" t="s">
        <v>399</v>
      </c>
      <c r="K175" t="s">
        <v>400</v>
      </c>
      <c r="L175">
        <v>1346</v>
      </c>
      <c r="N175">
        <v>1009</v>
      </c>
      <c r="O175" t="s">
        <v>401</v>
      </c>
      <c r="P175" t="s">
        <v>401</v>
      </c>
      <c r="Q175">
        <v>1</v>
      </c>
      <c r="X175">
        <v>0.05</v>
      </c>
      <c r="Y175">
        <v>31.49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181</v>
      </c>
      <c r="AG175">
        <v>0.1</v>
      </c>
      <c r="AH175">
        <v>2</v>
      </c>
      <c r="AI175">
        <v>1473082221</v>
      </c>
      <c r="AJ175">
        <v>90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ROW(Source!A525)</f>
        <v>525</v>
      </c>
      <c r="B176">
        <v>1473082225</v>
      </c>
      <c r="C176">
        <v>1473082219</v>
      </c>
      <c r="D176">
        <v>1441834628</v>
      </c>
      <c r="E176">
        <v>1</v>
      </c>
      <c r="F176">
        <v>1</v>
      </c>
      <c r="G176">
        <v>15514512</v>
      </c>
      <c r="H176">
        <v>3</v>
      </c>
      <c r="I176" t="s">
        <v>447</v>
      </c>
      <c r="J176" t="s">
        <v>448</v>
      </c>
      <c r="K176" t="s">
        <v>449</v>
      </c>
      <c r="L176">
        <v>1348</v>
      </c>
      <c r="N176">
        <v>1009</v>
      </c>
      <c r="O176" t="s">
        <v>412</v>
      </c>
      <c r="P176" t="s">
        <v>412</v>
      </c>
      <c r="Q176">
        <v>1000</v>
      </c>
      <c r="X176">
        <v>4.0000000000000003E-5</v>
      </c>
      <c r="Y176">
        <v>73951.73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181</v>
      </c>
      <c r="AG176">
        <v>8.0000000000000007E-5</v>
      </c>
      <c r="AH176">
        <v>2</v>
      </c>
      <c r="AI176">
        <v>1473082222</v>
      </c>
      <c r="AJ176">
        <v>91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ROW(Source!A526)</f>
        <v>526</v>
      </c>
      <c r="B177">
        <v>1473082231</v>
      </c>
      <c r="C177">
        <v>1473082226</v>
      </c>
      <c r="D177">
        <v>1441819193</v>
      </c>
      <c r="E177">
        <v>15514512</v>
      </c>
      <c r="F177">
        <v>1</v>
      </c>
      <c r="G177">
        <v>15514512</v>
      </c>
      <c r="H177">
        <v>1</v>
      </c>
      <c r="I177" t="s">
        <v>391</v>
      </c>
      <c r="J177" t="s">
        <v>3</v>
      </c>
      <c r="K177" t="s">
        <v>392</v>
      </c>
      <c r="L177">
        <v>1191</v>
      </c>
      <c r="N177">
        <v>1013</v>
      </c>
      <c r="O177" t="s">
        <v>393</v>
      </c>
      <c r="P177" t="s">
        <v>393</v>
      </c>
      <c r="Q177">
        <v>1</v>
      </c>
      <c r="X177">
        <v>0.17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1</v>
      </c>
      <c r="AF177" t="s">
        <v>28</v>
      </c>
      <c r="AG177">
        <v>0.68</v>
      </c>
      <c r="AH177">
        <v>2</v>
      </c>
      <c r="AI177">
        <v>1473082227</v>
      </c>
      <c r="AJ177">
        <v>92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ROW(Source!A526)</f>
        <v>526</v>
      </c>
      <c r="B178">
        <v>1473082232</v>
      </c>
      <c r="C178">
        <v>1473082226</v>
      </c>
      <c r="D178">
        <v>1441834258</v>
      </c>
      <c r="E178">
        <v>1</v>
      </c>
      <c r="F178">
        <v>1</v>
      </c>
      <c r="G178">
        <v>15514512</v>
      </c>
      <c r="H178">
        <v>2</v>
      </c>
      <c r="I178" t="s">
        <v>394</v>
      </c>
      <c r="J178" t="s">
        <v>395</v>
      </c>
      <c r="K178" t="s">
        <v>396</v>
      </c>
      <c r="L178">
        <v>1368</v>
      </c>
      <c r="N178">
        <v>1011</v>
      </c>
      <c r="O178" t="s">
        <v>397</v>
      </c>
      <c r="P178" t="s">
        <v>397</v>
      </c>
      <c r="Q178">
        <v>1</v>
      </c>
      <c r="X178">
        <v>0.01</v>
      </c>
      <c r="Y178">
        <v>0</v>
      </c>
      <c r="Z178">
        <v>1303.01</v>
      </c>
      <c r="AA178">
        <v>826.2</v>
      </c>
      <c r="AB178">
        <v>0</v>
      </c>
      <c r="AC178">
        <v>0</v>
      </c>
      <c r="AD178">
        <v>1</v>
      </c>
      <c r="AE178">
        <v>0</v>
      </c>
      <c r="AF178" t="s">
        <v>28</v>
      </c>
      <c r="AG178">
        <v>0.04</v>
      </c>
      <c r="AH178">
        <v>2</v>
      </c>
      <c r="AI178">
        <v>1473082228</v>
      </c>
      <c r="AJ178">
        <v>93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ROW(Source!A526)</f>
        <v>526</v>
      </c>
      <c r="B179">
        <v>1473082233</v>
      </c>
      <c r="C179">
        <v>1473082226</v>
      </c>
      <c r="D179">
        <v>1441836186</v>
      </c>
      <c r="E179">
        <v>1</v>
      </c>
      <c r="F179">
        <v>1</v>
      </c>
      <c r="G179">
        <v>15514512</v>
      </c>
      <c r="H179">
        <v>3</v>
      </c>
      <c r="I179" t="s">
        <v>441</v>
      </c>
      <c r="J179" t="s">
        <v>442</v>
      </c>
      <c r="K179" t="s">
        <v>443</v>
      </c>
      <c r="L179">
        <v>1346</v>
      </c>
      <c r="N179">
        <v>1009</v>
      </c>
      <c r="O179" t="s">
        <v>401</v>
      </c>
      <c r="P179" t="s">
        <v>401</v>
      </c>
      <c r="Q179">
        <v>1</v>
      </c>
      <c r="X179">
        <v>0.01</v>
      </c>
      <c r="Y179">
        <v>494.57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28</v>
      </c>
      <c r="AG179">
        <v>0.04</v>
      </c>
      <c r="AH179">
        <v>2</v>
      </c>
      <c r="AI179">
        <v>1473082229</v>
      </c>
      <c r="AJ179">
        <v>94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ROW(Source!A526)</f>
        <v>526</v>
      </c>
      <c r="B180">
        <v>1473082234</v>
      </c>
      <c r="C180">
        <v>1473082226</v>
      </c>
      <c r="D180">
        <v>1441836230</v>
      </c>
      <c r="E180">
        <v>1</v>
      </c>
      <c r="F180">
        <v>1</v>
      </c>
      <c r="G180">
        <v>15514512</v>
      </c>
      <c r="H180">
        <v>3</v>
      </c>
      <c r="I180" t="s">
        <v>444</v>
      </c>
      <c r="J180" t="s">
        <v>445</v>
      </c>
      <c r="K180" t="s">
        <v>446</v>
      </c>
      <c r="L180">
        <v>1327</v>
      </c>
      <c r="N180">
        <v>1005</v>
      </c>
      <c r="O180" t="s">
        <v>430</v>
      </c>
      <c r="P180" t="s">
        <v>430</v>
      </c>
      <c r="Q180">
        <v>1</v>
      </c>
      <c r="X180">
        <v>0.02</v>
      </c>
      <c r="Y180">
        <v>46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28</v>
      </c>
      <c r="AG180">
        <v>0.08</v>
      </c>
      <c r="AH180">
        <v>2</v>
      </c>
      <c r="AI180">
        <v>1473082230</v>
      </c>
      <c r="AJ180">
        <v>95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ROW(Source!A527)</f>
        <v>527</v>
      </c>
      <c r="B181">
        <v>1473082239</v>
      </c>
      <c r="C181">
        <v>1473082235</v>
      </c>
      <c r="D181">
        <v>1441819193</v>
      </c>
      <c r="E181">
        <v>15514512</v>
      </c>
      <c r="F181">
        <v>1</v>
      </c>
      <c r="G181">
        <v>15514512</v>
      </c>
      <c r="H181">
        <v>1</v>
      </c>
      <c r="I181" t="s">
        <v>391</v>
      </c>
      <c r="J181" t="s">
        <v>3</v>
      </c>
      <c r="K181" t="s">
        <v>392</v>
      </c>
      <c r="L181">
        <v>1191</v>
      </c>
      <c r="N181">
        <v>1013</v>
      </c>
      <c r="O181" t="s">
        <v>393</v>
      </c>
      <c r="P181" t="s">
        <v>393</v>
      </c>
      <c r="Q181">
        <v>1</v>
      </c>
      <c r="X181">
        <v>0.3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1</v>
      </c>
      <c r="AF181" t="s">
        <v>181</v>
      </c>
      <c r="AG181">
        <v>0.6</v>
      </c>
      <c r="AH181">
        <v>2</v>
      </c>
      <c r="AI181">
        <v>1473082236</v>
      </c>
      <c r="AJ181">
        <v>96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ROW(Source!A527)</f>
        <v>527</v>
      </c>
      <c r="B182">
        <v>1473082240</v>
      </c>
      <c r="C182">
        <v>1473082235</v>
      </c>
      <c r="D182">
        <v>1441836235</v>
      </c>
      <c r="E182">
        <v>1</v>
      </c>
      <c r="F182">
        <v>1</v>
      </c>
      <c r="G182">
        <v>15514512</v>
      </c>
      <c r="H182">
        <v>3</v>
      </c>
      <c r="I182" t="s">
        <v>398</v>
      </c>
      <c r="J182" t="s">
        <v>399</v>
      </c>
      <c r="K182" t="s">
        <v>400</v>
      </c>
      <c r="L182">
        <v>1346</v>
      </c>
      <c r="N182">
        <v>1009</v>
      </c>
      <c r="O182" t="s">
        <v>401</v>
      </c>
      <c r="P182" t="s">
        <v>401</v>
      </c>
      <c r="Q182">
        <v>1</v>
      </c>
      <c r="X182">
        <v>0.05</v>
      </c>
      <c r="Y182">
        <v>31.49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181</v>
      </c>
      <c r="AG182">
        <v>0.1</v>
      </c>
      <c r="AH182">
        <v>2</v>
      </c>
      <c r="AI182">
        <v>1473082237</v>
      </c>
      <c r="AJ182">
        <v>97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ROW(Source!A527)</f>
        <v>527</v>
      </c>
      <c r="B183">
        <v>1473082241</v>
      </c>
      <c r="C183">
        <v>1473082235</v>
      </c>
      <c r="D183">
        <v>1441834628</v>
      </c>
      <c r="E183">
        <v>1</v>
      </c>
      <c r="F183">
        <v>1</v>
      </c>
      <c r="G183">
        <v>15514512</v>
      </c>
      <c r="H183">
        <v>3</v>
      </c>
      <c r="I183" t="s">
        <v>447</v>
      </c>
      <c r="J183" t="s">
        <v>448</v>
      </c>
      <c r="K183" t="s">
        <v>449</v>
      </c>
      <c r="L183">
        <v>1348</v>
      </c>
      <c r="N183">
        <v>1009</v>
      </c>
      <c r="O183" t="s">
        <v>412</v>
      </c>
      <c r="P183" t="s">
        <v>412</v>
      </c>
      <c r="Q183">
        <v>1000</v>
      </c>
      <c r="X183">
        <v>4.0000000000000003E-5</v>
      </c>
      <c r="Y183">
        <v>73951.73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181</v>
      </c>
      <c r="AG183">
        <v>8.0000000000000007E-5</v>
      </c>
      <c r="AH183">
        <v>2</v>
      </c>
      <c r="AI183">
        <v>1473082238</v>
      </c>
      <c r="AJ183">
        <v>98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ROW(Source!A528)</f>
        <v>528</v>
      </c>
      <c r="B184">
        <v>1473082244</v>
      </c>
      <c r="C184">
        <v>1473082242</v>
      </c>
      <c r="D184">
        <v>1441819193</v>
      </c>
      <c r="E184">
        <v>15514512</v>
      </c>
      <c r="F184">
        <v>1</v>
      </c>
      <c r="G184">
        <v>15514512</v>
      </c>
      <c r="H184">
        <v>1</v>
      </c>
      <c r="I184" t="s">
        <v>391</v>
      </c>
      <c r="J184" t="s">
        <v>3</v>
      </c>
      <c r="K184" t="s">
        <v>392</v>
      </c>
      <c r="L184">
        <v>1191</v>
      </c>
      <c r="N184">
        <v>1013</v>
      </c>
      <c r="O184" t="s">
        <v>393</v>
      </c>
      <c r="P184" t="s">
        <v>393</v>
      </c>
      <c r="Q184">
        <v>1</v>
      </c>
      <c r="X184">
        <v>0.56000000000000005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163</v>
      </c>
      <c r="AG184">
        <v>1.6800000000000002</v>
      </c>
      <c r="AH184">
        <v>2</v>
      </c>
      <c r="AI184">
        <v>1473082243</v>
      </c>
      <c r="AJ184">
        <v>99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ROW(Source!A529)</f>
        <v>529</v>
      </c>
      <c r="B185">
        <v>1473082247</v>
      </c>
      <c r="C185">
        <v>1473082245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391</v>
      </c>
      <c r="J185" t="s">
        <v>3</v>
      </c>
      <c r="K185" t="s">
        <v>392</v>
      </c>
      <c r="L185">
        <v>1191</v>
      </c>
      <c r="N185">
        <v>1013</v>
      </c>
      <c r="O185" t="s">
        <v>393</v>
      </c>
      <c r="P185" t="s">
        <v>393</v>
      </c>
      <c r="Q185">
        <v>1</v>
      </c>
      <c r="X185">
        <v>0.16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3</v>
      </c>
      <c r="AG185">
        <v>0.16</v>
      </c>
      <c r="AH185">
        <v>2</v>
      </c>
      <c r="AI185">
        <v>1473082246</v>
      </c>
      <c r="AJ185">
        <v>100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ROW(Source!A530)</f>
        <v>530</v>
      </c>
      <c r="B186">
        <v>1473082252</v>
      </c>
      <c r="C186">
        <v>1473082248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391</v>
      </c>
      <c r="J186" t="s">
        <v>3</v>
      </c>
      <c r="K186" t="s">
        <v>392</v>
      </c>
      <c r="L186">
        <v>1191</v>
      </c>
      <c r="N186">
        <v>1013</v>
      </c>
      <c r="O186" t="s">
        <v>393</v>
      </c>
      <c r="P186" t="s">
        <v>393</v>
      </c>
      <c r="Q186">
        <v>1</v>
      </c>
      <c r="X186">
        <v>0.3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181</v>
      </c>
      <c r="AG186">
        <v>0.6</v>
      </c>
      <c r="AH186">
        <v>2</v>
      </c>
      <c r="AI186">
        <v>1473082249</v>
      </c>
      <c r="AJ186">
        <v>101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ROW(Source!A530)</f>
        <v>530</v>
      </c>
      <c r="B187">
        <v>1473082253</v>
      </c>
      <c r="C187">
        <v>1473082248</v>
      </c>
      <c r="D187">
        <v>1441836235</v>
      </c>
      <c r="E187">
        <v>1</v>
      </c>
      <c r="F187">
        <v>1</v>
      </c>
      <c r="G187">
        <v>15514512</v>
      </c>
      <c r="H187">
        <v>3</v>
      </c>
      <c r="I187" t="s">
        <v>398</v>
      </c>
      <c r="J187" t="s">
        <v>399</v>
      </c>
      <c r="K187" t="s">
        <v>400</v>
      </c>
      <c r="L187">
        <v>1346</v>
      </c>
      <c r="N187">
        <v>1009</v>
      </c>
      <c r="O187" t="s">
        <v>401</v>
      </c>
      <c r="P187" t="s">
        <v>401</v>
      </c>
      <c r="Q187">
        <v>1</v>
      </c>
      <c r="X187">
        <v>0.05</v>
      </c>
      <c r="Y187">
        <v>31.49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181</v>
      </c>
      <c r="AG187">
        <v>0.1</v>
      </c>
      <c r="AH187">
        <v>2</v>
      </c>
      <c r="AI187">
        <v>1473082250</v>
      </c>
      <c r="AJ187">
        <v>102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ROW(Source!A530)</f>
        <v>530</v>
      </c>
      <c r="B188">
        <v>1473082254</v>
      </c>
      <c r="C188">
        <v>1473082248</v>
      </c>
      <c r="D188">
        <v>1441834628</v>
      </c>
      <c r="E188">
        <v>1</v>
      </c>
      <c r="F188">
        <v>1</v>
      </c>
      <c r="G188">
        <v>15514512</v>
      </c>
      <c r="H188">
        <v>3</v>
      </c>
      <c r="I188" t="s">
        <v>447</v>
      </c>
      <c r="J188" t="s">
        <v>448</v>
      </c>
      <c r="K188" t="s">
        <v>449</v>
      </c>
      <c r="L188">
        <v>1348</v>
      </c>
      <c r="N188">
        <v>1009</v>
      </c>
      <c r="O188" t="s">
        <v>412</v>
      </c>
      <c r="P188" t="s">
        <v>412</v>
      </c>
      <c r="Q188">
        <v>1000</v>
      </c>
      <c r="X188">
        <v>4.0000000000000003E-5</v>
      </c>
      <c r="Y188">
        <v>73951.73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181</v>
      </c>
      <c r="AG188">
        <v>8.0000000000000007E-5</v>
      </c>
      <c r="AH188">
        <v>2</v>
      </c>
      <c r="AI188">
        <v>1473082251</v>
      </c>
      <c r="AJ188">
        <v>103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ROW(Source!A531)</f>
        <v>531</v>
      </c>
      <c r="B189">
        <v>1473082260</v>
      </c>
      <c r="C189">
        <v>1473082255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391</v>
      </c>
      <c r="J189" t="s">
        <v>3</v>
      </c>
      <c r="K189" t="s">
        <v>392</v>
      </c>
      <c r="L189">
        <v>1191</v>
      </c>
      <c r="N189">
        <v>1013</v>
      </c>
      <c r="O189" t="s">
        <v>393</v>
      </c>
      <c r="P189" t="s">
        <v>393</v>
      </c>
      <c r="Q189">
        <v>1</v>
      </c>
      <c r="X189">
        <v>0.17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28</v>
      </c>
      <c r="AG189">
        <v>0.68</v>
      </c>
      <c r="AH189">
        <v>2</v>
      </c>
      <c r="AI189">
        <v>1473082256</v>
      </c>
      <c r="AJ189">
        <v>104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ROW(Source!A531)</f>
        <v>531</v>
      </c>
      <c r="B190">
        <v>1473082261</v>
      </c>
      <c r="C190">
        <v>1473082255</v>
      </c>
      <c r="D190">
        <v>1441834258</v>
      </c>
      <c r="E190">
        <v>1</v>
      </c>
      <c r="F190">
        <v>1</v>
      </c>
      <c r="G190">
        <v>15514512</v>
      </c>
      <c r="H190">
        <v>2</v>
      </c>
      <c r="I190" t="s">
        <v>394</v>
      </c>
      <c r="J190" t="s">
        <v>395</v>
      </c>
      <c r="K190" t="s">
        <v>396</v>
      </c>
      <c r="L190">
        <v>1368</v>
      </c>
      <c r="N190">
        <v>1011</v>
      </c>
      <c r="O190" t="s">
        <v>397</v>
      </c>
      <c r="P190" t="s">
        <v>397</v>
      </c>
      <c r="Q190">
        <v>1</v>
      </c>
      <c r="X190">
        <v>0.01</v>
      </c>
      <c r="Y190">
        <v>0</v>
      </c>
      <c r="Z190">
        <v>1303.01</v>
      </c>
      <c r="AA190">
        <v>826.2</v>
      </c>
      <c r="AB190">
        <v>0</v>
      </c>
      <c r="AC190">
        <v>0</v>
      </c>
      <c r="AD190">
        <v>1</v>
      </c>
      <c r="AE190">
        <v>0</v>
      </c>
      <c r="AF190" t="s">
        <v>28</v>
      </c>
      <c r="AG190">
        <v>0.04</v>
      </c>
      <c r="AH190">
        <v>2</v>
      </c>
      <c r="AI190">
        <v>1473082257</v>
      </c>
      <c r="AJ190">
        <v>105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ROW(Source!A531)</f>
        <v>531</v>
      </c>
      <c r="B191">
        <v>1473082262</v>
      </c>
      <c r="C191">
        <v>1473082255</v>
      </c>
      <c r="D191">
        <v>1441836186</v>
      </c>
      <c r="E191">
        <v>1</v>
      </c>
      <c r="F191">
        <v>1</v>
      </c>
      <c r="G191">
        <v>15514512</v>
      </c>
      <c r="H191">
        <v>3</v>
      </c>
      <c r="I191" t="s">
        <v>441</v>
      </c>
      <c r="J191" t="s">
        <v>442</v>
      </c>
      <c r="K191" t="s">
        <v>443</v>
      </c>
      <c r="L191">
        <v>1346</v>
      </c>
      <c r="N191">
        <v>1009</v>
      </c>
      <c r="O191" t="s">
        <v>401</v>
      </c>
      <c r="P191" t="s">
        <v>401</v>
      </c>
      <c r="Q191">
        <v>1</v>
      </c>
      <c r="X191">
        <v>0.01</v>
      </c>
      <c r="Y191">
        <v>494.57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28</v>
      </c>
      <c r="AG191">
        <v>0.04</v>
      </c>
      <c r="AH191">
        <v>2</v>
      </c>
      <c r="AI191">
        <v>1473082258</v>
      </c>
      <c r="AJ191">
        <v>106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ROW(Source!A531)</f>
        <v>531</v>
      </c>
      <c r="B192">
        <v>1473082263</v>
      </c>
      <c r="C192">
        <v>1473082255</v>
      </c>
      <c r="D192">
        <v>1441836230</v>
      </c>
      <c r="E192">
        <v>1</v>
      </c>
      <c r="F192">
        <v>1</v>
      </c>
      <c r="G192">
        <v>15514512</v>
      </c>
      <c r="H192">
        <v>3</v>
      </c>
      <c r="I192" t="s">
        <v>444</v>
      </c>
      <c r="J192" t="s">
        <v>445</v>
      </c>
      <c r="K192" t="s">
        <v>446</v>
      </c>
      <c r="L192">
        <v>1327</v>
      </c>
      <c r="N192">
        <v>1005</v>
      </c>
      <c r="O192" t="s">
        <v>430</v>
      </c>
      <c r="P192" t="s">
        <v>430</v>
      </c>
      <c r="Q192">
        <v>1</v>
      </c>
      <c r="X192">
        <v>0.02</v>
      </c>
      <c r="Y192">
        <v>46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28</v>
      </c>
      <c r="AG192">
        <v>0.08</v>
      </c>
      <c r="AH192">
        <v>2</v>
      </c>
      <c r="AI192">
        <v>1473082259</v>
      </c>
      <c r="AJ192">
        <v>107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ROW(Source!A532)</f>
        <v>532</v>
      </c>
      <c r="B193">
        <v>1473082268</v>
      </c>
      <c r="C193">
        <v>1473082264</v>
      </c>
      <c r="D193">
        <v>1441819193</v>
      </c>
      <c r="E193">
        <v>15514512</v>
      </c>
      <c r="F193">
        <v>1</v>
      </c>
      <c r="G193">
        <v>15514512</v>
      </c>
      <c r="H193">
        <v>1</v>
      </c>
      <c r="I193" t="s">
        <v>391</v>
      </c>
      <c r="J193" t="s">
        <v>3</v>
      </c>
      <c r="K193" t="s">
        <v>392</v>
      </c>
      <c r="L193">
        <v>1191</v>
      </c>
      <c r="N193">
        <v>1013</v>
      </c>
      <c r="O193" t="s">
        <v>393</v>
      </c>
      <c r="P193" t="s">
        <v>393</v>
      </c>
      <c r="Q193">
        <v>1</v>
      </c>
      <c r="X193">
        <v>0.3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181</v>
      </c>
      <c r="AG193">
        <v>0.6</v>
      </c>
      <c r="AH193">
        <v>2</v>
      </c>
      <c r="AI193">
        <v>1473082265</v>
      </c>
      <c r="AJ193">
        <v>108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ROW(Source!A532)</f>
        <v>532</v>
      </c>
      <c r="B194">
        <v>1473082269</v>
      </c>
      <c r="C194">
        <v>1473082264</v>
      </c>
      <c r="D194">
        <v>1441836235</v>
      </c>
      <c r="E194">
        <v>1</v>
      </c>
      <c r="F194">
        <v>1</v>
      </c>
      <c r="G194">
        <v>15514512</v>
      </c>
      <c r="H194">
        <v>3</v>
      </c>
      <c r="I194" t="s">
        <v>398</v>
      </c>
      <c r="J194" t="s">
        <v>399</v>
      </c>
      <c r="K194" t="s">
        <v>400</v>
      </c>
      <c r="L194">
        <v>1346</v>
      </c>
      <c r="N194">
        <v>1009</v>
      </c>
      <c r="O194" t="s">
        <v>401</v>
      </c>
      <c r="P194" t="s">
        <v>401</v>
      </c>
      <c r="Q194">
        <v>1</v>
      </c>
      <c r="X194">
        <v>0.05</v>
      </c>
      <c r="Y194">
        <v>31.49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181</v>
      </c>
      <c r="AG194">
        <v>0.1</v>
      </c>
      <c r="AH194">
        <v>2</v>
      </c>
      <c r="AI194">
        <v>1473082266</v>
      </c>
      <c r="AJ194">
        <v>109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ROW(Source!A532)</f>
        <v>532</v>
      </c>
      <c r="B195">
        <v>1473082270</v>
      </c>
      <c r="C195">
        <v>1473082264</v>
      </c>
      <c r="D195">
        <v>1441834628</v>
      </c>
      <c r="E195">
        <v>1</v>
      </c>
      <c r="F195">
        <v>1</v>
      </c>
      <c r="G195">
        <v>15514512</v>
      </c>
      <c r="H195">
        <v>3</v>
      </c>
      <c r="I195" t="s">
        <v>447</v>
      </c>
      <c r="J195" t="s">
        <v>448</v>
      </c>
      <c r="K195" t="s">
        <v>449</v>
      </c>
      <c r="L195">
        <v>1348</v>
      </c>
      <c r="N195">
        <v>1009</v>
      </c>
      <c r="O195" t="s">
        <v>412</v>
      </c>
      <c r="P195" t="s">
        <v>412</v>
      </c>
      <c r="Q195">
        <v>1000</v>
      </c>
      <c r="X195">
        <v>4.0000000000000003E-5</v>
      </c>
      <c r="Y195">
        <v>73951.73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181</v>
      </c>
      <c r="AG195">
        <v>8.0000000000000007E-5</v>
      </c>
      <c r="AH195">
        <v>2</v>
      </c>
      <c r="AI195">
        <v>1473082267</v>
      </c>
      <c r="AJ195">
        <v>110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ROW(Source!A533)</f>
        <v>533</v>
      </c>
      <c r="B196">
        <v>1473082273</v>
      </c>
      <c r="C196">
        <v>1473082271</v>
      </c>
      <c r="D196">
        <v>1441819193</v>
      </c>
      <c r="E196">
        <v>15514512</v>
      </c>
      <c r="F196">
        <v>1</v>
      </c>
      <c r="G196">
        <v>15514512</v>
      </c>
      <c r="H196">
        <v>1</v>
      </c>
      <c r="I196" t="s">
        <v>391</v>
      </c>
      <c r="J196" t="s">
        <v>3</v>
      </c>
      <c r="K196" t="s">
        <v>392</v>
      </c>
      <c r="L196">
        <v>1191</v>
      </c>
      <c r="N196">
        <v>1013</v>
      </c>
      <c r="O196" t="s">
        <v>393</v>
      </c>
      <c r="P196" t="s">
        <v>393</v>
      </c>
      <c r="Q196">
        <v>1</v>
      </c>
      <c r="X196">
        <v>1.06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1</v>
      </c>
      <c r="AF196" t="s">
        <v>181</v>
      </c>
      <c r="AG196">
        <v>2.12</v>
      </c>
      <c r="AH196">
        <v>2</v>
      </c>
      <c r="AI196">
        <v>1473082272</v>
      </c>
      <c r="AJ196">
        <v>111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ROW(Source!A569)</f>
        <v>569</v>
      </c>
      <c r="B197">
        <v>1473082277</v>
      </c>
      <c r="C197">
        <v>1473082274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391</v>
      </c>
      <c r="J197" t="s">
        <v>3</v>
      </c>
      <c r="K197" t="s">
        <v>392</v>
      </c>
      <c r="L197">
        <v>1191</v>
      </c>
      <c r="N197">
        <v>1013</v>
      </c>
      <c r="O197" t="s">
        <v>393</v>
      </c>
      <c r="P197" t="s">
        <v>393</v>
      </c>
      <c r="Q197">
        <v>1</v>
      </c>
      <c r="X197">
        <v>0.18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280</v>
      </c>
      <c r="AG197">
        <v>0.18720000000000001</v>
      </c>
      <c r="AH197">
        <v>2</v>
      </c>
      <c r="AI197">
        <v>1473082275</v>
      </c>
      <c r="AJ197">
        <v>112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ROW(Source!A569)</f>
        <v>569</v>
      </c>
      <c r="B198">
        <v>1473082278</v>
      </c>
      <c r="C198">
        <v>1473082274</v>
      </c>
      <c r="D198">
        <v>1441836235</v>
      </c>
      <c r="E198">
        <v>1</v>
      </c>
      <c r="F198">
        <v>1</v>
      </c>
      <c r="G198">
        <v>15514512</v>
      </c>
      <c r="H198">
        <v>3</v>
      </c>
      <c r="I198" t="s">
        <v>398</v>
      </c>
      <c r="J198" t="s">
        <v>399</v>
      </c>
      <c r="K198" t="s">
        <v>400</v>
      </c>
      <c r="L198">
        <v>1346</v>
      </c>
      <c r="N198">
        <v>1009</v>
      </c>
      <c r="O198" t="s">
        <v>401</v>
      </c>
      <c r="P198" t="s">
        <v>401</v>
      </c>
      <c r="Q198">
        <v>1</v>
      </c>
      <c r="X198">
        <v>0.04</v>
      </c>
      <c r="Y198">
        <v>31.49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0.04</v>
      </c>
      <c r="AH198">
        <v>2</v>
      </c>
      <c r="AI198">
        <v>1473082276</v>
      </c>
      <c r="AJ198">
        <v>113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ROW(Source!A570)</f>
        <v>570</v>
      </c>
      <c r="B199">
        <v>1473082282</v>
      </c>
      <c r="C199">
        <v>1473082279</v>
      </c>
      <c r="D199">
        <v>1441819193</v>
      </c>
      <c r="E199">
        <v>15514512</v>
      </c>
      <c r="F199">
        <v>1</v>
      </c>
      <c r="G199">
        <v>15514512</v>
      </c>
      <c r="H199">
        <v>1</v>
      </c>
      <c r="I199" t="s">
        <v>391</v>
      </c>
      <c r="J199" t="s">
        <v>3</v>
      </c>
      <c r="K199" t="s">
        <v>392</v>
      </c>
      <c r="L199">
        <v>1191</v>
      </c>
      <c r="N199">
        <v>1013</v>
      </c>
      <c r="O199" t="s">
        <v>393</v>
      </c>
      <c r="P199" t="s">
        <v>393</v>
      </c>
      <c r="Q199">
        <v>1</v>
      </c>
      <c r="X199">
        <v>0.18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280</v>
      </c>
      <c r="AG199">
        <v>0.18720000000000001</v>
      </c>
      <c r="AH199">
        <v>2</v>
      </c>
      <c r="AI199">
        <v>1473082280</v>
      </c>
      <c r="AJ199">
        <v>114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ROW(Source!A570)</f>
        <v>570</v>
      </c>
      <c r="B200">
        <v>1473082283</v>
      </c>
      <c r="C200">
        <v>1473082279</v>
      </c>
      <c r="D200">
        <v>1441836235</v>
      </c>
      <c r="E200">
        <v>1</v>
      </c>
      <c r="F200">
        <v>1</v>
      </c>
      <c r="G200">
        <v>15514512</v>
      </c>
      <c r="H200">
        <v>3</v>
      </c>
      <c r="I200" t="s">
        <v>398</v>
      </c>
      <c r="J200" t="s">
        <v>399</v>
      </c>
      <c r="K200" t="s">
        <v>400</v>
      </c>
      <c r="L200">
        <v>1346</v>
      </c>
      <c r="N200">
        <v>1009</v>
      </c>
      <c r="O200" t="s">
        <v>401</v>
      </c>
      <c r="P200" t="s">
        <v>401</v>
      </c>
      <c r="Q200">
        <v>1</v>
      </c>
      <c r="X200">
        <v>0.05</v>
      </c>
      <c r="Y200">
        <v>31.49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0.05</v>
      </c>
      <c r="AH200">
        <v>2</v>
      </c>
      <c r="AI200">
        <v>1473082281</v>
      </c>
      <c r="AJ200">
        <v>115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ROW(Source!A571)</f>
        <v>571</v>
      </c>
      <c r="B201">
        <v>1473082287</v>
      </c>
      <c r="C201">
        <v>1473082284</v>
      </c>
      <c r="D201">
        <v>1441819193</v>
      </c>
      <c r="E201">
        <v>15514512</v>
      </c>
      <c r="F201">
        <v>1</v>
      </c>
      <c r="G201">
        <v>15514512</v>
      </c>
      <c r="H201">
        <v>1</v>
      </c>
      <c r="I201" t="s">
        <v>391</v>
      </c>
      <c r="J201" t="s">
        <v>3</v>
      </c>
      <c r="K201" t="s">
        <v>392</v>
      </c>
      <c r="L201">
        <v>1191</v>
      </c>
      <c r="N201">
        <v>1013</v>
      </c>
      <c r="O201" t="s">
        <v>393</v>
      </c>
      <c r="P201" t="s">
        <v>393</v>
      </c>
      <c r="Q201">
        <v>1</v>
      </c>
      <c r="X201">
        <v>0.26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28</v>
      </c>
      <c r="AG201">
        <v>1.04</v>
      </c>
      <c r="AH201">
        <v>2</v>
      </c>
      <c r="AI201">
        <v>1473082285</v>
      </c>
      <c r="AJ201">
        <v>116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ROW(Source!A571)</f>
        <v>571</v>
      </c>
      <c r="B202">
        <v>1473082288</v>
      </c>
      <c r="C202">
        <v>1473082284</v>
      </c>
      <c r="D202">
        <v>1441836235</v>
      </c>
      <c r="E202">
        <v>1</v>
      </c>
      <c r="F202">
        <v>1</v>
      </c>
      <c r="G202">
        <v>15514512</v>
      </c>
      <c r="H202">
        <v>3</v>
      </c>
      <c r="I202" t="s">
        <v>398</v>
      </c>
      <c r="J202" t="s">
        <v>399</v>
      </c>
      <c r="K202" t="s">
        <v>400</v>
      </c>
      <c r="L202">
        <v>1346</v>
      </c>
      <c r="N202">
        <v>1009</v>
      </c>
      <c r="O202" t="s">
        <v>401</v>
      </c>
      <c r="P202" t="s">
        <v>401</v>
      </c>
      <c r="Q202">
        <v>1</v>
      </c>
      <c r="X202">
        <v>0.04</v>
      </c>
      <c r="Y202">
        <v>31.49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28</v>
      </c>
      <c r="AG202">
        <v>0.16</v>
      </c>
      <c r="AH202">
        <v>2</v>
      </c>
      <c r="AI202">
        <v>1473082286</v>
      </c>
      <c r="AJ202">
        <v>117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ROW(Source!A572)</f>
        <v>572</v>
      </c>
      <c r="B203">
        <v>1473082294</v>
      </c>
      <c r="C203">
        <v>1473082289</v>
      </c>
      <c r="D203">
        <v>1441819193</v>
      </c>
      <c r="E203">
        <v>15514512</v>
      </c>
      <c r="F203">
        <v>1</v>
      </c>
      <c r="G203">
        <v>15514512</v>
      </c>
      <c r="H203">
        <v>1</v>
      </c>
      <c r="I203" t="s">
        <v>391</v>
      </c>
      <c r="J203" t="s">
        <v>3</v>
      </c>
      <c r="K203" t="s">
        <v>392</v>
      </c>
      <c r="L203">
        <v>1191</v>
      </c>
      <c r="N203">
        <v>1013</v>
      </c>
      <c r="O203" t="s">
        <v>393</v>
      </c>
      <c r="P203" t="s">
        <v>393</v>
      </c>
      <c r="Q203">
        <v>1</v>
      </c>
      <c r="X203">
        <v>0.36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1</v>
      </c>
      <c r="AF203" t="s">
        <v>293</v>
      </c>
      <c r="AG203">
        <v>0.37440000000000001</v>
      </c>
      <c r="AH203">
        <v>2</v>
      </c>
      <c r="AI203">
        <v>1473082290</v>
      </c>
      <c r="AJ203">
        <v>118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ROW(Source!A572)</f>
        <v>572</v>
      </c>
      <c r="B204">
        <v>1473082295</v>
      </c>
      <c r="C204">
        <v>1473082289</v>
      </c>
      <c r="D204">
        <v>1441836235</v>
      </c>
      <c r="E204">
        <v>1</v>
      </c>
      <c r="F204">
        <v>1</v>
      </c>
      <c r="G204">
        <v>15514512</v>
      </c>
      <c r="H204">
        <v>3</v>
      </c>
      <c r="I204" t="s">
        <v>398</v>
      </c>
      <c r="J204" t="s">
        <v>399</v>
      </c>
      <c r="K204" t="s">
        <v>400</v>
      </c>
      <c r="L204">
        <v>1346</v>
      </c>
      <c r="N204">
        <v>1009</v>
      </c>
      <c r="O204" t="s">
        <v>401</v>
      </c>
      <c r="P204" t="s">
        <v>401</v>
      </c>
      <c r="Q204">
        <v>1</v>
      </c>
      <c r="X204">
        <v>0.05</v>
      </c>
      <c r="Y204">
        <v>31.49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0.05</v>
      </c>
      <c r="AH204">
        <v>2</v>
      </c>
      <c r="AI204">
        <v>1473082291</v>
      </c>
      <c r="AJ204">
        <v>119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ROW(Source!A572)</f>
        <v>572</v>
      </c>
      <c r="B205">
        <v>1473082296</v>
      </c>
      <c r="C205">
        <v>1473082289</v>
      </c>
      <c r="D205">
        <v>1441839822</v>
      </c>
      <c r="E205">
        <v>1</v>
      </c>
      <c r="F205">
        <v>1</v>
      </c>
      <c r="G205">
        <v>15514512</v>
      </c>
      <c r="H205">
        <v>3</v>
      </c>
      <c r="I205" t="s">
        <v>450</v>
      </c>
      <c r="J205" t="s">
        <v>451</v>
      </c>
      <c r="K205" t="s">
        <v>452</v>
      </c>
      <c r="L205">
        <v>1296</v>
      </c>
      <c r="N205">
        <v>1002</v>
      </c>
      <c r="O205" t="s">
        <v>405</v>
      </c>
      <c r="P205" t="s">
        <v>405</v>
      </c>
      <c r="Q205">
        <v>1</v>
      </c>
      <c r="X205">
        <v>0.02</v>
      </c>
      <c r="Y205">
        <v>157.41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0.02</v>
      </c>
      <c r="AH205">
        <v>2</v>
      </c>
      <c r="AI205">
        <v>1473082292</v>
      </c>
      <c r="AJ205">
        <v>120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ROW(Source!A572)</f>
        <v>572</v>
      </c>
      <c r="B206">
        <v>1473082297</v>
      </c>
      <c r="C206">
        <v>1473082289</v>
      </c>
      <c r="D206">
        <v>1441834719</v>
      </c>
      <c r="E206">
        <v>1</v>
      </c>
      <c r="F206">
        <v>1</v>
      </c>
      <c r="G206">
        <v>15514512</v>
      </c>
      <c r="H206">
        <v>3</v>
      </c>
      <c r="I206" t="s">
        <v>453</v>
      </c>
      <c r="J206" t="s">
        <v>454</v>
      </c>
      <c r="K206" t="s">
        <v>455</v>
      </c>
      <c r="L206">
        <v>1296</v>
      </c>
      <c r="N206">
        <v>1002</v>
      </c>
      <c r="O206" t="s">
        <v>405</v>
      </c>
      <c r="P206" t="s">
        <v>405</v>
      </c>
      <c r="Q206">
        <v>1</v>
      </c>
      <c r="X206">
        <v>0.01</v>
      </c>
      <c r="Y206">
        <v>485.63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0.01</v>
      </c>
      <c r="AH206">
        <v>2</v>
      </c>
      <c r="AI206">
        <v>1473082293</v>
      </c>
      <c r="AJ206">
        <v>121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ROW(Source!A573)</f>
        <v>573</v>
      </c>
      <c r="B207">
        <v>1473082301</v>
      </c>
      <c r="C207">
        <v>1473082298</v>
      </c>
      <c r="D207">
        <v>1441819193</v>
      </c>
      <c r="E207">
        <v>15514512</v>
      </c>
      <c r="F207">
        <v>1</v>
      </c>
      <c r="G207">
        <v>15514512</v>
      </c>
      <c r="H207">
        <v>1</v>
      </c>
      <c r="I207" t="s">
        <v>391</v>
      </c>
      <c r="J207" t="s">
        <v>3</v>
      </c>
      <c r="K207" t="s">
        <v>392</v>
      </c>
      <c r="L207">
        <v>1191</v>
      </c>
      <c r="N207">
        <v>1013</v>
      </c>
      <c r="O207" t="s">
        <v>393</v>
      </c>
      <c r="P207" t="s">
        <v>393</v>
      </c>
      <c r="Q207">
        <v>1</v>
      </c>
      <c r="X207">
        <v>0.18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280</v>
      </c>
      <c r="AG207">
        <v>0.18720000000000001</v>
      </c>
      <c r="AH207">
        <v>2</v>
      </c>
      <c r="AI207">
        <v>1473082299</v>
      </c>
      <c r="AJ207">
        <v>122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ROW(Source!A573)</f>
        <v>573</v>
      </c>
      <c r="B208">
        <v>1473082302</v>
      </c>
      <c r="C208">
        <v>1473082298</v>
      </c>
      <c r="D208">
        <v>1441836235</v>
      </c>
      <c r="E208">
        <v>1</v>
      </c>
      <c r="F208">
        <v>1</v>
      </c>
      <c r="G208">
        <v>15514512</v>
      </c>
      <c r="H208">
        <v>3</v>
      </c>
      <c r="I208" t="s">
        <v>398</v>
      </c>
      <c r="J208" t="s">
        <v>399</v>
      </c>
      <c r="K208" t="s">
        <v>400</v>
      </c>
      <c r="L208">
        <v>1346</v>
      </c>
      <c r="N208">
        <v>1009</v>
      </c>
      <c r="O208" t="s">
        <v>401</v>
      </c>
      <c r="P208" t="s">
        <v>401</v>
      </c>
      <c r="Q208">
        <v>1</v>
      </c>
      <c r="X208">
        <v>0.04</v>
      </c>
      <c r="Y208">
        <v>31.49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0.04</v>
      </c>
      <c r="AH208">
        <v>2</v>
      </c>
      <c r="AI208">
        <v>1473082300</v>
      </c>
      <c r="AJ208">
        <v>123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ROW(Source!A574)</f>
        <v>574</v>
      </c>
      <c r="B209">
        <v>1473082306</v>
      </c>
      <c r="C209">
        <v>1473082303</v>
      </c>
      <c r="D209">
        <v>1441819193</v>
      </c>
      <c r="E209">
        <v>15514512</v>
      </c>
      <c r="F209">
        <v>1</v>
      </c>
      <c r="G209">
        <v>15514512</v>
      </c>
      <c r="H209">
        <v>1</v>
      </c>
      <c r="I209" t="s">
        <v>391</v>
      </c>
      <c r="J209" t="s">
        <v>3</v>
      </c>
      <c r="K209" t="s">
        <v>392</v>
      </c>
      <c r="L209">
        <v>1191</v>
      </c>
      <c r="N209">
        <v>1013</v>
      </c>
      <c r="O209" t="s">
        <v>393</v>
      </c>
      <c r="P209" t="s">
        <v>393</v>
      </c>
      <c r="Q209">
        <v>1</v>
      </c>
      <c r="X209">
        <v>0.39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163</v>
      </c>
      <c r="AG209">
        <v>1.17</v>
      </c>
      <c r="AH209">
        <v>2</v>
      </c>
      <c r="AI209">
        <v>1473082304</v>
      </c>
      <c r="AJ209">
        <v>124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ROW(Source!A574)</f>
        <v>574</v>
      </c>
      <c r="B210">
        <v>1473082307</v>
      </c>
      <c r="C210">
        <v>1473082303</v>
      </c>
      <c r="D210">
        <v>1441834258</v>
      </c>
      <c r="E210">
        <v>1</v>
      </c>
      <c r="F210">
        <v>1</v>
      </c>
      <c r="G210">
        <v>15514512</v>
      </c>
      <c r="H210">
        <v>2</v>
      </c>
      <c r="I210" t="s">
        <v>394</v>
      </c>
      <c r="J210" t="s">
        <v>395</v>
      </c>
      <c r="K210" t="s">
        <v>396</v>
      </c>
      <c r="L210">
        <v>1368</v>
      </c>
      <c r="N210">
        <v>1011</v>
      </c>
      <c r="O210" t="s">
        <v>397</v>
      </c>
      <c r="P210" t="s">
        <v>397</v>
      </c>
      <c r="Q210">
        <v>1</v>
      </c>
      <c r="X210">
        <v>0.02</v>
      </c>
      <c r="Y210">
        <v>0</v>
      </c>
      <c r="Z210">
        <v>1303.01</v>
      </c>
      <c r="AA210">
        <v>826.2</v>
      </c>
      <c r="AB210">
        <v>0</v>
      </c>
      <c r="AC210">
        <v>0</v>
      </c>
      <c r="AD210">
        <v>1</v>
      </c>
      <c r="AE210">
        <v>0</v>
      </c>
      <c r="AF210" t="s">
        <v>163</v>
      </c>
      <c r="AG210">
        <v>0.06</v>
      </c>
      <c r="AH210">
        <v>2</v>
      </c>
      <c r="AI210">
        <v>1473082305</v>
      </c>
      <c r="AJ210">
        <v>125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ROW(Source!A575)</f>
        <v>575</v>
      </c>
      <c r="B211">
        <v>1473082314</v>
      </c>
      <c r="C211">
        <v>1473082308</v>
      </c>
      <c r="D211">
        <v>1441819193</v>
      </c>
      <c r="E211">
        <v>15514512</v>
      </c>
      <c r="F211">
        <v>1</v>
      </c>
      <c r="G211">
        <v>15514512</v>
      </c>
      <c r="H211">
        <v>1</v>
      </c>
      <c r="I211" t="s">
        <v>391</v>
      </c>
      <c r="J211" t="s">
        <v>3</v>
      </c>
      <c r="K211" t="s">
        <v>392</v>
      </c>
      <c r="L211">
        <v>1191</v>
      </c>
      <c r="N211">
        <v>1013</v>
      </c>
      <c r="O211" t="s">
        <v>393</v>
      </c>
      <c r="P211" t="s">
        <v>393</v>
      </c>
      <c r="Q211">
        <v>1</v>
      </c>
      <c r="X211">
        <v>1.82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1</v>
      </c>
      <c r="AF211" t="s">
        <v>3</v>
      </c>
      <c r="AG211">
        <v>1.82</v>
      </c>
      <c r="AH211">
        <v>2</v>
      </c>
      <c r="AI211">
        <v>1473082309</v>
      </c>
      <c r="AJ211">
        <v>126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ROW(Source!A575)</f>
        <v>575</v>
      </c>
      <c r="B212">
        <v>1473082315</v>
      </c>
      <c r="C212">
        <v>1473082308</v>
      </c>
      <c r="D212">
        <v>1441834258</v>
      </c>
      <c r="E212">
        <v>1</v>
      </c>
      <c r="F212">
        <v>1</v>
      </c>
      <c r="G212">
        <v>15514512</v>
      </c>
      <c r="H212">
        <v>2</v>
      </c>
      <c r="I212" t="s">
        <v>394</v>
      </c>
      <c r="J212" t="s">
        <v>395</v>
      </c>
      <c r="K212" t="s">
        <v>396</v>
      </c>
      <c r="L212">
        <v>1368</v>
      </c>
      <c r="N212">
        <v>1011</v>
      </c>
      <c r="O212" t="s">
        <v>397</v>
      </c>
      <c r="P212" t="s">
        <v>397</v>
      </c>
      <c r="Q212">
        <v>1</v>
      </c>
      <c r="X212">
        <v>0.1</v>
      </c>
      <c r="Y212">
        <v>0</v>
      </c>
      <c r="Z212">
        <v>1303.01</v>
      </c>
      <c r="AA212">
        <v>826.2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0.1</v>
      </c>
      <c r="AH212">
        <v>2</v>
      </c>
      <c r="AI212">
        <v>1473082310</v>
      </c>
      <c r="AJ212">
        <v>127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ROW(Source!A575)</f>
        <v>575</v>
      </c>
      <c r="B213">
        <v>1473082316</v>
      </c>
      <c r="C213">
        <v>1473082308</v>
      </c>
      <c r="D213">
        <v>1441836187</v>
      </c>
      <c r="E213">
        <v>1</v>
      </c>
      <c r="F213">
        <v>1</v>
      </c>
      <c r="G213">
        <v>15514512</v>
      </c>
      <c r="H213">
        <v>3</v>
      </c>
      <c r="I213" t="s">
        <v>456</v>
      </c>
      <c r="J213" t="s">
        <v>457</v>
      </c>
      <c r="K213" t="s">
        <v>458</v>
      </c>
      <c r="L213">
        <v>1346</v>
      </c>
      <c r="N213">
        <v>1009</v>
      </c>
      <c r="O213" t="s">
        <v>401</v>
      </c>
      <c r="P213" t="s">
        <v>401</v>
      </c>
      <c r="Q213">
        <v>1</v>
      </c>
      <c r="X213">
        <v>4.0000000000000001E-3</v>
      </c>
      <c r="Y213">
        <v>424.66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4.0000000000000001E-3</v>
      </c>
      <c r="AH213">
        <v>2</v>
      </c>
      <c r="AI213">
        <v>1473082311</v>
      </c>
      <c r="AJ213">
        <v>128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ROW(Source!A575)</f>
        <v>575</v>
      </c>
      <c r="B214">
        <v>1473082317</v>
      </c>
      <c r="C214">
        <v>1473082308</v>
      </c>
      <c r="D214">
        <v>1441836125</v>
      </c>
      <c r="E214">
        <v>1</v>
      </c>
      <c r="F214">
        <v>1</v>
      </c>
      <c r="G214">
        <v>15514512</v>
      </c>
      <c r="H214">
        <v>3</v>
      </c>
      <c r="I214" t="s">
        <v>459</v>
      </c>
      <c r="J214" t="s">
        <v>460</v>
      </c>
      <c r="K214" t="s">
        <v>461</v>
      </c>
      <c r="L214">
        <v>1346</v>
      </c>
      <c r="N214">
        <v>1009</v>
      </c>
      <c r="O214" t="s">
        <v>401</v>
      </c>
      <c r="P214" t="s">
        <v>401</v>
      </c>
      <c r="Q214">
        <v>1</v>
      </c>
      <c r="X214">
        <v>2E-3</v>
      </c>
      <c r="Y214">
        <v>222.29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2E-3</v>
      </c>
      <c r="AH214">
        <v>2</v>
      </c>
      <c r="AI214">
        <v>1473082312</v>
      </c>
      <c r="AJ214">
        <v>129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ROW(Source!A575)</f>
        <v>575</v>
      </c>
      <c r="B215">
        <v>1473082318</v>
      </c>
      <c r="C215">
        <v>1473082308</v>
      </c>
      <c r="D215">
        <v>1441836230</v>
      </c>
      <c r="E215">
        <v>1</v>
      </c>
      <c r="F215">
        <v>1</v>
      </c>
      <c r="G215">
        <v>15514512</v>
      </c>
      <c r="H215">
        <v>3</v>
      </c>
      <c r="I215" t="s">
        <v>444</v>
      </c>
      <c r="J215" t="s">
        <v>445</v>
      </c>
      <c r="K215" t="s">
        <v>446</v>
      </c>
      <c r="L215">
        <v>1327</v>
      </c>
      <c r="N215">
        <v>1005</v>
      </c>
      <c r="O215" t="s">
        <v>430</v>
      </c>
      <c r="P215" t="s">
        <v>430</v>
      </c>
      <c r="Q215">
        <v>1</v>
      </c>
      <c r="X215">
        <v>0.02</v>
      </c>
      <c r="Y215">
        <v>46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0.02</v>
      </c>
      <c r="AH215">
        <v>2</v>
      </c>
      <c r="AI215">
        <v>1473082313</v>
      </c>
      <c r="AJ215">
        <v>130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ROW(Source!A611)</f>
        <v>611</v>
      </c>
      <c r="B216">
        <v>1473082329</v>
      </c>
      <c r="C216">
        <v>1473082319</v>
      </c>
      <c r="D216">
        <v>1441819193</v>
      </c>
      <c r="E216">
        <v>15514512</v>
      </c>
      <c r="F216">
        <v>1</v>
      </c>
      <c r="G216">
        <v>15514512</v>
      </c>
      <c r="H216">
        <v>1</v>
      </c>
      <c r="I216" t="s">
        <v>391</v>
      </c>
      <c r="J216" t="s">
        <v>3</v>
      </c>
      <c r="K216" t="s">
        <v>392</v>
      </c>
      <c r="L216">
        <v>1191</v>
      </c>
      <c r="N216">
        <v>1013</v>
      </c>
      <c r="O216" t="s">
        <v>393</v>
      </c>
      <c r="P216" t="s">
        <v>393</v>
      </c>
      <c r="Q216">
        <v>1</v>
      </c>
      <c r="X216">
        <v>6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1</v>
      </c>
      <c r="AF216" t="s">
        <v>104</v>
      </c>
      <c r="AG216">
        <v>24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ROW(Source!A611)</f>
        <v>611</v>
      </c>
      <c r="B217">
        <v>1473082330</v>
      </c>
      <c r="C217">
        <v>1473082319</v>
      </c>
      <c r="D217">
        <v>1441834258</v>
      </c>
      <c r="E217">
        <v>1</v>
      </c>
      <c r="F217">
        <v>1</v>
      </c>
      <c r="G217">
        <v>15514512</v>
      </c>
      <c r="H217">
        <v>2</v>
      </c>
      <c r="I217" t="s">
        <v>394</v>
      </c>
      <c r="J217" t="s">
        <v>395</v>
      </c>
      <c r="K217" t="s">
        <v>396</v>
      </c>
      <c r="L217">
        <v>1368</v>
      </c>
      <c r="N217">
        <v>1011</v>
      </c>
      <c r="O217" t="s">
        <v>397</v>
      </c>
      <c r="P217" t="s">
        <v>397</v>
      </c>
      <c r="Q217">
        <v>1</v>
      </c>
      <c r="X217">
        <v>0.7</v>
      </c>
      <c r="Y217">
        <v>0</v>
      </c>
      <c r="Z217">
        <v>1303.01</v>
      </c>
      <c r="AA217">
        <v>826.2</v>
      </c>
      <c r="AB217">
        <v>0</v>
      </c>
      <c r="AC217">
        <v>0</v>
      </c>
      <c r="AD217">
        <v>1</v>
      </c>
      <c r="AE217">
        <v>0</v>
      </c>
      <c r="AF217" t="s">
        <v>104</v>
      </c>
      <c r="AG217">
        <v>2.8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ROW(Source!A611)</f>
        <v>611</v>
      </c>
      <c r="B218">
        <v>1473082331</v>
      </c>
      <c r="C218">
        <v>1473082319</v>
      </c>
      <c r="D218">
        <v>1441836235</v>
      </c>
      <c r="E218">
        <v>1</v>
      </c>
      <c r="F218">
        <v>1</v>
      </c>
      <c r="G218">
        <v>15514512</v>
      </c>
      <c r="H218">
        <v>3</v>
      </c>
      <c r="I218" t="s">
        <v>398</v>
      </c>
      <c r="J218" t="s">
        <v>399</v>
      </c>
      <c r="K218" t="s">
        <v>400</v>
      </c>
      <c r="L218">
        <v>1346</v>
      </c>
      <c r="N218">
        <v>1009</v>
      </c>
      <c r="O218" t="s">
        <v>401</v>
      </c>
      <c r="P218" t="s">
        <v>401</v>
      </c>
      <c r="Q218">
        <v>1</v>
      </c>
      <c r="X218">
        <v>0.03</v>
      </c>
      <c r="Y218">
        <v>31.49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104</v>
      </c>
      <c r="AG218">
        <v>0.12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ROW(Source!A612)</f>
        <v>612</v>
      </c>
      <c r="B219">
        <v>1473082333</v>
      </c>
      <c r="C219">
        <v>1473082332</v>
      </c>
      <c r="D219">
        <v>1441819193</v>
      </c>
      <c r="E219">
        <v>15514512</v>
      </c>
      <c r="F219">
        <v>1</v>
      </c>
      <c r="G219">
        <v>15514512</v>
      </c>
      <c r="H219">
        <v>1</v>
      </c>
      <c r="I219" t="s">
        <v>391</v>
      </c>
      <c r="J219" t="s">
        <v>3</v>
      </c>
      <c r="K219" t="s">
        <v>392</v>
      </c>
      <c r="L219">
        <v>1191</v>
      </c>
      <c r="N219">
        <v>1013</v>
      </c>
      <c r="O219" t="s">
        <v>393</v>
      </c>
      <c r="P219" t="s">
        <v>393</v>
      </c>
      <c r="Q219">
        <v>1</v>
      </c>
      <c r="X219">
        <v>0.24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1</v>
      </c>
      <c r="AF219" t="s">
        <v>181</v>
      </c>
      <c r="AG219">
        <v>0.48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ROW(Source!A613)</f>
        <v>613</v>
      </c>
      <c r="B220">
        <v>1473082335</v>
      </c>
      <c r="C220">
        <v>1473082334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391</v>
      </c>
      <c r="J220" t="s">
        <v>3</v>
      </c>
      <c r="K220" t="s">
        <v>392</v>
      </c>
      <c r="L220">
        <v>1191</v>
      </c>
      <c r="N220">
        <v>1013</v>
      </c>
      <c r="O220" t="s">
        <v>393</v>
      </c>
      <c r="P220" t="s">
        <v>393</v>
      </c>
      <c r="Q220">
        <v>1</v>
      </c>
      <c r="X220">
        <v>0.4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3</v>
      </c>
      <c r="AG220">
        <v>0.4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ROW(Source!A613)</f>
        <v>613</v>
      </c>
      <c r="B221">
        <v>1473082336</v>
      </c>
      <c r="C221">
        <v>1473082334</v>
      </c>
      <c r="D221">
        <v>1441836235</v>
      </c>
      <c r="E221">
        <v>1</v>
      </c>
      <c r="F221">
        <v>1</v>
      </c>
      <c r="G221">
        <v>15514512</v>
      </c>
      <c r="H221">
        <v>3</v>
      </c>
      <c r="I221" t="s">
        <v>398</v>
      </c>
      <c r="J221" t="s">
        <v>399</v>
      </c>
      <c r="K221" t="s">
        <v>400</v>
      </c>
      <c r="L221">
        <v>1346</v>
      </c>
      <c r="N221">
        <v>1009</v>
      </c>
      <c r="O221" t="s">
        <v>401</v>
      </c>
      <c r="P221" t="s">
        <v>401</v>
      </c>
      <c r="Q221">
        <v>1</v>
      </c>
      <c r="X221">
        <v>0.2</v>
      </c>
      <c r="Y221">
        <v>31.49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3</v>
      </c>
      <c r="AG221">
        <v>0.2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ROW(Source!A614)</f>
        <v>614</v>
      </c>
      <c r="B222">
        <v>1473082338</v>
      </c>
      <c r="C222">
        <v>1473082337</v>
      </c>
      <c r="D222">
        <v>1441819193</v>
      </c>
      <c r="E222">
        <v>15514512</v>
      </c>
      <c r="F222">
        <v>1</v>
      </c>
      <c r="G222">
        <v>15514512</v>
      </c>
      <c r="H222">
        <v>1</v>
      </c>
      <c r="I222" t="s">
        <v>391</v>
      </c>
      <c r="J222" t="s">
        <v>3</v>
      </c>
      <c r="K222" t="s">
        <v>392</v>
      </c>
      <c r="L222">
        <v>1191</v>
      </c>
      <c r="N222">
        <v>1013</v>
      </c>
      <c r="O222" t="s">
        <v>393</v>
      </c>
      <c r="P222" t="s">
        <v>393</v>
      </c>
      <c r="Q222">
        <v>1</v>
      </c>
      <c r="X222">
        <v>0.18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1</v>
      </c>
      <c r="AF222" t="s">
        <v>3</v>
      </c>
      <c r="AG222">
        <v>0.18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ROW(Source!A614)</f>
        <v>614</v>
      </c>
      <c r="B223">
        <v>1473082339</v>
      </c>
      <c r="C223">
        <v>1473082337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398</v>
      </c>
      <c r="J223" t="s">
        <v>399</v>
      </c>
      <c r="K223" t="s">
        <v>400</v>
      </c>
      <c r="L223">
        <v>1346</v>
      </c>
      <c r="N223">
        <v>1009</v>
      </c>
      <c r="O223" t="s">
        <v>401</v>
      </c>
      <c r="P223" t="s">
        <v>401</v>
      </c>
      <c r="Q223">
        <v>1</v>
      </c>
      <c r="X223">
        <v>0.2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0.2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ROW(Source!A615)</f>
        <v>615</v>
      </c>
      <c r="B224">
        <v>1473082345</v>
      </c>
      <c r="C224">
        <v>1473082340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391</v>
      </c>
      <c r="J224" t="s">
        <v>3</v>
      </c>
      <c r="K224" t="s">
        <v>392</v>
      </c>
      <c r="L224">
        <v>1191</v>
      </c>
      <c r="N224">
        <v>1013</v>
      </c>
      <c r="O224" t="s">
        <v>393</v>
      </c>
      <c r="P224" t="s">
        <v>393</v>
      </c>
      <c r="Q224">
        <v>1</v>
      </c>
      <c r="X224">
        <v>0.96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3</v>
      </c>
      <c r="AG224">
        <v>0.96</v>
      </c>
      <c r="AH224">
        <v>2</v>
      </c>
      <c r="AI224">
        <v>1473082341</v>
      </c>
      <c r="AJ224">
        <v>131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ROW(Source!A615)</f>
        <v>615</v>
      </c>
      <c r="B225">
        <v>1473082346</v>
      </c>
      <c r="C225">
        <v>1473082340</v>
      </c>
      <c r="D225">
        <v>1441836235</v>
      </c>
      <c r="E225">
        <v>1</v>
      </c>
      <c r="F225">
        <v>1</v>
      </c>
      <c r="G225">
        <v>15514512</v>
      </c>
      <c r="H225">
        <v>3</v>
      </c>
      <c r="I225" t="s">
        <v>398</v>
      </c>
      <c r="J225" t="s">
        <v>399</v>
      </c>
      <c r="K225" t="s">
        <v>400</v>
      </c>
      <c r="L225">
        <v>1346</v>
      </c>
      <c r="N225">
        <v>1009</v>
      </c>
      <c r="O225" t="s">
        <v>401</v>
      </c>
      <c r="P225" t="s">
        <v>401</v>
      </c>
      <c r="Q225">
        <v>1</v>
      </c>
      <c r="X225">
        <v>0.05</v>
      </c>
      <c r="Y225">
        <v>31.49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3</v>
      </c>
      <c r="AG225">
        <v>0.05</v>
      </c>
      <c r="AH225">
        <v>2</v>
      </c>
      <c r="AI225">
        <v>1473082342</v>
      </c>
      <c r="AJ225">
        <v>132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ROW(Source!A615)</f>
        <v>615</v>
      </c>
      <c r="B226">
        <v>1473082347</v>
      </c>
      <c r="C226">
        <v>1473082340</v>
      </c>
      <c r="D226">
        <v>1441834628</v>
      </c>
      <c r="E226">
        <v>1</v>
      </c>
      <c r="F226">
        <v>1</v>
      </c>
      <c r="G226">
        <v>15514512</v>
      </c>
      <c r="H226">
        <v>3</v>
      </c>
      <c r="I226" t="s">
        <v>447</v>
      </c>
      <c r="J226" t="s">
        <v>448</v>
      </c>
      <c r="K226" t="s">
        <v>449</v>
      </c>
      <c r="L226">
        <v>1348</v>
      </c>
      <c r="N226">
        <v>1009</v>
      </c>
      <c r="O226" t="s">
        <v>412</v>
      </c>
      <c r="P226" t="s">
        <v>412</v>
      </c>
      <c r="Q226">
        <v>1000</v>
      </c>
      <c r="X226">
        <v>3.0000000000000001E-5</v>
      </c>
      <c r="Y226">
        <v>73951.73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3</v>
      </c>
      <c r="AG226">
        <v>3.0000000000000001E-5</v>
      </c>
      <c r="AH226">
        <v>2</v>
      </c>
      <c r="AI226">
        <v>1473082343</v>
      </c>
      <c r="AJ226">
        <v>133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ROW(Source!A615)</f>
        <v>615</v>
      </c>
      <c r="B227">
        <v>1473082348</v>
      </c>
      <c r="C227">
        <v>1473082340</v>
      </c>
      <c r="D227">
        <v>1441834669</v>
      </c>
      <c r="E227">
        <v>1</v>
      </c>
      <c r="F227">
        <v>1</v>
      </c>
      <c r="G227">
        <v>15514512</v>
      </c>
      <c r="H227">
        <v>3</v>
      </c>
      <c r="I227" t="s">
        <v>462</v>
      </c>
      <c r="J227" t="s">
        <v>463</v>
      </c>
      <c r="K227" t="s">
        <v>464</v>
      </c>
      <c r="L227">
        <v>1346</v>
      </c>
      <c r="N227">
        <v>1009</v>
      </c>
      <c r="O227" t="s">
        <v>401</v>
      </c>
      <c r="P227" t="s">
        <v>401</v>
      </c>
      <c r="Q227">
        <v>1</v>
      </c>
      <c r="X227">
        <v>0.01</v>
      </c>
      <c r="Y227">
        <v>222.28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0.01</v>
      </c>
      <c r="AH227">
        <v>2</v>
      </c>
      <c r="AI227">
        <v>1473082344</v>
      </c>
      <c r="AJ227">
        <v>134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ROW(Source!A616)</f>
        <v>616</v>
      </c>
      <c r="B228">
        <v>1473082354</v>
      </c>
      <c r="C228">
        <v>1473082349</v>
      </c>
      <c r="D228">
        <v>1441819193</v>
      </c>
      <c r="E228">
        <v>15514512</v>
      </c>
      <c r="F228">
        <v>1</v>
      </c>
      <c r="G228">
        <v>15514512</v>
      </c>
      <c r="H228">
        <v>1</v>
      </c>
      <c r="I228" t="s">
        <v>391</v>
      </c>
      <c r="J228" t="s">
        <v>3</v>
      </c>
      <c r="K228" t="s">
        <v>392</v>
      </c>
      <c r="L228">
        <v>1191</v>
      </c>
      <c r="N228">
        <v>1013</v>
      </c>
      <c r="O228" t="s">
        <v>393</v>
      </c>
      <c r="P228" t="s">
        <v>393</v>
      </c>
      <c r="Q228">
        <v>1</v>
      </c>
      <c r="X228">
        <v>0.96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3</v>
      </c>
      <c r="AG228">
        <v>0.96</v>
      </c>
      <c r="AH228">
        <v>2</v>
      </c>
      <c r="AI228">
        <v>1473082350</v>
      </c>
      <c r="AJ228">
        <v>135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ROW(Source!A616)</f>
        <v>616</v>
      </c>
      <c r="B229">
        <v>1473082355</v>
      </c>
      <c r="C229">
        <v>1473082349</v>
      </c>
      <c r="D229">
        <v>1441836235</v>
      </c>
      <c r="E229">
        <v>1</v>
      </c>
      <c r="F229">
        <v>1</v>
      </c>
      <c r="G229">
        <v>15514512</v>
      </c>
      <c r="H229">
        <v>3</v>
      </c>
      <c r="I229" t="s">
        <v>398</v>
      </c>
      <c r="J229" t="s">
        <v>399</v>
      </c>
      <c r="K229" t="s">
        <v>400</v>
      </c>
      <c r="L229">
        <v>1346</v>
      </c>
      <c r="N229">
        <v>1009</v>
      </c>
      <c r="O229" t="s">
        <v>401</v>
      </c>
      <c r="P229" t="s">
        <v>401</v>
      </c>
      <c r="Q229">
        <v>1</v>
      </c>
      <c r="X229">
        <v>0.05</v>
      </c>
      <c r="Y229">
        <v>31.49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0.05</v>
      </c>
      <c r="AH229">
        <v>2</v>
      </c>
      <c r="AI229">
        <v>1473082351</v>
      </c>
      <c r="AJ229">
        <v>136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ROW(Source!A616)</f>
        <v>616</v>
      </c>
      <c r="B230">
        <v>1473082356</v>
      </c>
      <c r="C230">
        <v>1473082349</v>
      </c>
      <c r="D230">
        <v>1441834628</v>
      </c>
      <c r="E230">
        <v>1</v>
      </c>
      <c r="F230">
        <v>1</v>
      </c>
      <c r="G230">
        <v>15514512</v>
      </c>
      <c r="H230">
        <v>3</v>
      </c>
      <c r="I230" t="s">
        <v>447</v>
      </c>
      <c r="J230" t="s">
        <v>448</v>
      </c>
      <c r="K230" t="s">
        <v>449</v>
      </c>
      <c r="L230">
        <v>1348</v>
      </c>
      <c r="N230">
        <v>1009</v>
      </c>
      <c r="O230" t="s">
        <v>412</v>
      </c>
      <c r="P230" t="s">
        <v>412</v>
      </c>
      <c r="Q230">
        <v>1000</v>
      </c>
      <c r="X230">
        <v>3.0000000000000001E-5</v>
      </c>
      <c r="Y230">
        <v>73951.73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3.0000000000000001E-5</v>
      </c>
      <c r="AH230">
        <v>2</v>
      </c>
      <c r="AI230">
        <v>1473082352</v>
      </c>
      <c r="AJ230">
        <v>137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ROW(Source!A616)</f>
        <v>616</v>
      </c>
      <c r="B231">
        <v>1473082357</v>
      </c>
      <c r="C231">
        <v>1473082349</v>
      </c>
      <c r="D231">
        <v>1441834669</v>
      </c>
      <c r="E231">
        <v>1</v>
      </c>
      <c r="F231">
        <v>1</v>
      </c>
      <c r="G231">
        <v>15514512</v>
      </c>
      <c r="H231">
        <v>3</v>
      </c>
      <c r="I231" t="s">
        <v>462</v>
      </c>
      <c r="J231" t="s">
        <v>463</v>
      </c>
      <c r="K231" t="s">
        <v>464</v>
      </c>
      <c r="L231">
        <v>1346</v>
      </c>
      <c r="N231">
        <v>1009</v>
      </c>
      <c r="O231" t="s">
        <v>401</v>
      </c>
      <c r="P231" t="s">
        <v>401</v>
      </c>
      <c r="Q231">
        <v>1</v>
      </c>
      <c r="X231">
        <v>0.01</v>
      </c>
      <c r="Y231">
        <v>222.28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0.01</v>
      </c>
      <c r="AH231">
        <v>2</v>
      </c>
      <c r="AI231">
        <v>1473082353</v>
      </c>
      <c r="AJ231">
        <v>138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ROW(Source!A617)</f>
        <v>617</v>
      </c>
      <c r="B232">
        <v>1473082363</v>
      </c>
      <c r="C232">
        <v>1473082358</v>
      </c>
      <c r="D232">
        <v>1441819193</v>
      </c>
      <c r="E232">
        <v>15514512</v>
      </c>
      <c r="F232">
        <v>1</v>
      </c>
      <c r="G232">
        <v>15514512</v>
      </c>
      <c r="H232">
        <v>1</v>
      </c>
      <c r="I232" t="s">
        <v>391</v>
      </c>
      <c r="J232" t="s">
        <v>3</v>
      </c>
      <c r="K232" t="s">
        <v>392</v>
      </c>
      <c r="L232">
        <v>1191</v>
      </c>
      <c r="N232">
        <v>1013</v>
      </c>
      <c r="O232" t="s">
        <v>393</v>
      </c>
      <c r="P232" t="s">
        <v>393</v>
      </c>
      <c r="Q232">
        <v>1</v>
      </c>
      <c r="X232">
        <v>0.96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1</v>
      </c>
      <c r="AF232" t="s">
        <v>3</v>
      </c>
      <c r="AG232">
        <v>0.96</v>
      </c>
      <c r="AH232">
        <v>2</v>
      </c>
      <c r="AI232">
        <v>1473082359</v>
      </c>
      <c r="AJ232">
        <v>139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ROW(Source!A617)</f>
        <v>617</v>
      </c>
      <c r="B233">
        <v>1473082364</v>
      </c>
      <c r="C233">
        <v>1473082358</v>
      </c>
      <c r="D233">
        <v>1441836235</v>
      </c>
      <c r="E233">
        <v>1</v>
      </c>
      <c r="F233">
        <v>1</v>
      </c>
      <c r="G233">
        <v>15514512</v>
      </c>
      <c r="H233">
        <v>3</v>
      </c>
      <c r="I233" t="s">
        <v>398</v>
      </c>
      <c r="J233" t="s">
        <v>399</v>
      </c>
      <c r="K233" t="s">
        <v>400</v>
      </c>
      <c r="L233">
        <v>1346</v>
      </c>
      <c r="N233">
        <v>1009</v>
      </c>
      <c r="O233" t="s">
        <v>401</v>
      </c>
      <c r="P233" t="s">
        <v>401</v>
      </c>
      <c r="Q233">
        <v>1</v>
      </c>
      <c r="X233">
        <v>0.05</v>
      </c>
      <c r="Y233">
        <v>31.49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0.05</v>
      </c>
      <c r="AH233">
        <v>2</v>
      </c>
      <c r="AI233">
        <v>1473082360</v>
      </c>
      <c r="AJ233">
        <v>140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ROW(Source!A617)</f>
        <v>617</v>
      </c>
      <c r="B234">
        <v>1473082365</v>
      </c>
      <c r="C234">
        <v>1473082358</v>
      </c>
      <c r="D234">
        <v>1441834628</v>
      </c>
      <c r="E234">
        <v>1</v>
      </c>
      <c r="F234">
        <v>1</v>
      </c>
      <c r="G234">
        <v>15514512</v>
      </c>
      <c r="H234">
        <v>3</v>
      </c>
      <c r="I234" t="s">
        <v>447</v>
      </c>
      <c r="J234" t="s">
        <v>448</v>
      </c>
      <c r="K234" t="s">
        <v>449</v>
      </c>
      <c r="L234">
        <v>1348</v>
      </c>
      <c r="N234">
        <v>1009</v>
      </c>
      <c r="O234" t="s">
        <v>412</v>
      </c>
      <c r="P234" t="s">
        <v>412</v>
      </c>
      <c r="Q234">
        <v>1000</v>
      </c>
      <c r="X234">
        <v>3.0000000000000001E-5</v>
      </c>
      <c r="Y234">
        <v>73951.73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3.0000000000000001E-5</v>
      </c>
      <c r="AH234">
        <v>2</v>
      </c>
      <c r="AI234">
        <v>1473082361</v>
      </c>
      <c r="AJ234">
        <v>141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ROW(Source!A617)</f>
        <v>617</v>
      </c>
      <c r="B235">
        <v>1473082366</v>
      </c>
      <c r="C235">
        <v>1473082358</v>
      </c>
      <c r="D235">
        <v>1441834669</v>
      </c>
      <c r="E235">
        <v>1</v>
      </c>
      <c r="F235">
        <v>1</v>
      </c>
      <c r="G235">
        <v>15514512</v>
      </c>
      <c r="H235">
        <v>3</v>
      </c>
      <c r="I235" t="s">
        <v>462</v>
      </c>
      <c r="J235" t="s">
        <v>463</v>
      </c>
      <c r="K235" t="s">
        <v>464</v>
      </c>
      <c r="L235">
        <v>1346</v>
      </c>
      <c r="N235">
        <v>1009</v>
      </c>
      <c r="O235" t="s">
        <v>401</v>
      </c>
      <c r="P235" t="s">
        <v>401</v>
      </c>
      <c r="Q235">
        <v>1</v>
      </c>
      <c r="X235">
        <v>0.01</v>
      </c>
      <c r="Y235">
        <v>222.28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0.01</v>
      </c>
      <c r="AH235">
        <v>2</v>
      </c>
      <c r="AI235">
        <v>1473082362</v>
      </c>
      <c r="AJ235">
        <v>142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ROW(Source!A653)</f>
        <v>653</v>
      </c>
      <c r="B236">
        <v>1473082368</v>
      </c>
      <c r="C236">
        <v>1473082367</v>
      </c>
      <c r="D236">
        <v>1441819193</v>
      </c>
      <c r="E236">
        <v>15514512</v>
      </c>
      <c r="F236">
        <v>1</v>
      </c>
      <c r="G236">
        <v>15514512</v>
      </c>
      <c r="H236">
        <v>1</v>
      </c>
      <c r="I236" t="s">
        <v>391</v>
      </c>
      <c r="J236" t="s">
        <v>3</v>
      </c>
      <c r="K236" t="s">
        <v>392</v>
      </c>
      <c r="L236">
        <v>1191</v>
      </c>
      <c r="N236">
        <v>1013</v>
      </c>
      <c r="O236" t="s">
        <v>393</v>
      </c>
      <c r="P236" t="s">
        <v>393</v>
      </c>
      <c r="Q236">
        <v>1</v>
      </c>
      <c r="X236">
        <v>7.14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3</v>
      </c>
      <c r="AG236">
        <v>7.14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ROW(Source!A653)</f>
        <v>653</v>
      </c>
      <c r="B237">
        <v>1473082369</v>
      </c>
      <c r="C237">
        <v>1473082367</v>
      </c>
      <c r="D237">
        <v>1441836237</v>
      </c>
      <c r="E237">
        <v>1</v>
      </c>
      <c r="F237">
        <v>1</v>
      </c>
      <c r="G237">
        <v>15514512</v>
      </c>
      <c r="H237">
        <v>3</v>
      </c>
      <c r="I237" t="s">
        <v>501</v>
      </c>
      <c r="J237" t="s">
        <v>502</v>
      </c>
      <c r="K237" t="s">
        <v>503</v>
      </c>
      <c r="L237">
        <v>1346</v>
      </c>
      <c r="N237">
        <v>1009</v>
      </c>
      <c r="O237" t="s">
        <v>401</v>
      </c>
      <c r="P237" t="s">
        <v>401</v>
      </c>
      <c r="Q237">
        <v>1</v>
      </c>
      <c r="X237">
        <v>0.06</v>
      </c>
      <c r="Y237">
        <v>375.16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0.06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ROW(Source!A654)</f>
        <v>654</v>
      </c>
      <c r="B238">
        <v>1473082371</v>
      </c>
      <c r="C238">
        <v>1473082370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391</v>
      </c>
      <c r="J238" t="s">
        <v>3</v>
      </c>
      <c r="K238" t="s">
        <v>392</v>
      </c>
      <c r="L238">
        <v>1191</v>
      </c>
      <c r="N238">
        <v>1013</v>
      </c>
      <c r="O238" t="s">
        <v>393</v>
      </c>
      <c r="P238" t="s">
        <v>393</v>
      </c>
      <c r="Q238">
        <v>1</v>
      </c>
      <c r="X238">
        <v>0.24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1</v>
      </c>
      <c r="AF238" t="s">
        <v>3</v>
      </c>
      <c r="AG238">
        <v>0.24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ROW(Source!A655)</f>
        <v>655</v>
      </c>
      <c r="B239">
        <v>1473082373</v>
      </c>
      <c r="C239">
        <v>1473082372</v>
      </c>
      <c r="D239">
        <v>1441819193</v>
      </c>
      <c r="E239">
        <v>15514512</v>
      </c>
      <c r="F239">
        <v>1</v>
      </c>
      <c r="G239">
        <v>15514512</v>
      </c>
      <c r="H239">
        <v>1</v>
      </c>
      <c r="I239" t="s">
        <v>391</v>
      </c>
      <c r="J239" t="s">
        <v>3</v>
      </c>
      <c r="K239" t="s">
        <v>392</v>
      </c>
      <c r="L239">
        <v>1191</v>
      </c>
      <c r="N239">
        <v>1013</v>
      </c>
      <c r="O239" t="s">
        <v>393</v>
      </c>
      <c r="P239" t="s">
        <v>393</v>
      </c>
      <c r="Q239">
        <v>1</v>
      </c>
      <c r="X239">
        <v>10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3</v>
      </c>
      <c r="AG239">
        <v>10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ROW(Source!A655)</f>
        <v>655</v>
      </c>
      <c r="B240">
        <v>1473082374</v>
      </c>
      <c r="C240">
        <v>1473082372</v>
      </c>
      <c r="D240">
        <v>1441836237</v>
      </c>
      <c r="E240">
        <v>1</v>
      </c>
      <c r="F240">
        <v>1</v>
      </c>
      <c r="G240">
        <v>15514512</v>
      </c>
      <c r="H240">
        <v>3</v>
      </c>
      <c r="I240" t="s">
        <v>501</v>
      </c>
      <c r="J240" t="s">
        <v>502</v>
      </c>
      <c r="K240" t="s">
        <v>503</v>
      </c>
      <c r="L240">
        <v>1346</v>
      </c>
      <c r="N240">
        <v>1009</v>
      </c>
      <c r="O240" t="s">
        <v>401</v>
      </c>
      <c r="P240" t="s">
        <v>401</v>
      </c>
      <c r="Q240">
        <v>1</v>
      </c>
      <c r="X240">
        <v>0.06</v>
      </c>
      <c r="Y240">
        <v>375.16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0.06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ROW(Source!A656)</f>
        <v>656</v>
      </c>
      <c r="B241">
        <v>1473082376</v>
      </c>
      <c r="C241">
        <v>1473082375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391</v>
      </c>
      <c r="J241" t="s">
        <v>3</v>
      </c>
      <c r="K241" t="s">
        <v>392</v>
      </c>
      <c r="L241">
        <v>1191</v>
      </c>
      <c r="N241">
        <v>1013</v>
      </c>
      <c r="O241" t="s">
        <v>393</v>
      </c>
      <c r="P241" t="s">
        <v>393</v>
      </c>
      <c r="Q241">
        <v>1</v>
      </c>
      <c r="X241">
        <v>0.33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3</v>
      </c>
      <c r="AG241">
        <v>0.33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ROW(Source!A657)</f>
        <v>657</v>
      </c>
      <c r="B242">
        <v>1473082378</v>
      </c>
      <c r="C242">
        <v>1473082377</v>
      </c>
      <c r="D242">
        <v>1441819193</v>
      </c>
      <c r="E242">
        <v>15514512</v>
      </c>
      <c r="F242">
        <v>1</v>
      </c>
      <c r="G242">
        <v>15514512</v>
      </c>
      <c r="H242">
        <v>1</v>
      </c>
      <c r="I242" t="s">
        <v>391</v>
      </c>
      <c r="J242" t="s">
        <v>3</v>
      </c>
      <c r="K242" t="s">
        <v>392</v>
      </c>
      <c r="L242">
        <v>1191</v>
      </c>
      <c r="N242">
        <v>1013</v>
      </c>
      <c r="O242" t="s">
        <v>393</v>
      </c>
      <c r="P242" t="s">
        <v>393</v>
      </c>
      <c r="Q242">
        <v>1</v>
      </c>
      <c r="X242">
        <v>11.22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1</v>
      </c>
      <c r="AF242" t="s">
        <v>3</v>
      </c>
      <c r="AG242">
        <v>11.22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ROW(Source!A657)</f>
        <v>657</v>
      </c>
      <c r="B243">
        <v>1473082379</v>
      </c>
      <c r="C243">
        <v>1473082377</v>
      </c>
      <c r="D243">
        <v>1441836237</v>
      </c>
      <c r="E243">
        <v>1</v>
      </c>
      <c r="F243">
        <v>1</v>
      </c>
      <c r="G243">
        <v>15514512</v>
      </c>
      <c r="H243">
        <v>3</v>
      </c>
      <c r="I243" t="s">
        <v>501</v>
      </c>
      <c r="J243" t="s">
        <v>502</v>
      </c>
      <c r="K243" t="s">
        <v>503</v>
      </c>
      <c r="L243">
        <v>1346</v>
      </c>
      <c r="N243">
        <v>1009</v>
      </c>
      <c r="O243" t="s">
        <v>401</v>
      </c>
      <c r="P243" t="s">
        <v>401</v>
      </c>
      <c r="Q243">
        <v>1</v>
      </c>
      <c r="X243">
        <v>3.9E-2</v>
      </c>
      <c r="Y243">
        <v>375.16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3.9E-2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ROW(Source!A658)</f>
        <v>658</v>
      </c>
      <c r="B244">
        <v>1473082381</v>
      </c>
      <c r="C244">
        <v>1473082380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391</v>
      </c>
      <c r="J244" t="s">
        <v>3</v>
      </c>
      <c r="K244" t="s">
        <v>392</v>
      </c>
      <c r="L244">
        <v>1191</v>
      </c>
      <c r="N244">
        <v>1013</v>
      </c>
      <c r="O244" t="s">
        <v>393</v>
      </c>
      <c r="P244" t="s">
        <v>393</v>
      </c>
      <c r="Q244">
        <v>1</v>
      </c>
      <c r="X244">
        <v>0.38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3</v>
      </c>
      <c r="AG244">
        <v>0.38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ROW(Source!A658)</f>
        <v>658</v>
      </c>
      <c r="B245">
        <v>1473082382</v>
      </c>
      <c r="C245">
        <v>1473082380</v>
      </c>
      <c r="D245">
        <v>1441836237</v>
      </c>
      <c r="E245">
        <v>1</v>
      </c>
      <c r="F245">
        <v>1</v>
      </c>
      <c r="G245">
        <v>15514512</v>
      </c>
      <c r="H245">
        <v>3</v>
      </c>
      <c r="I245" t="s">
        <v>501</v>
      </c>
      <c r="J245" t="s">
        <v>502</v>
      </c>
      <c r="K245" t="s">
        <v>503</v>
      </c>
      <c r="L245">
        <v>1346</v>
      </c>
      <c r="N245">
        <v>1009</v>
      </c>
      <c r="O245" t="s">
        <v>401</v>
      </c>
      <c r="P245" t="s">
        <v>401</v>
      </c>
      <c r="Q245">
        <v>1</v>
      </c>
      <c r="X245">
        <v>1E-3</v>
      </c>
      <c r="Y245">
        <v>375.16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1E-3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ROW(Source!A659)</f>
        <v>659</v>
      </c>
      <c r="B246">
        <v>1473082384</v>
      </c>
      <c r="C246">
        <v>1473082383</v>
      </c>
      <c r="D246">
        <v>1441819193</v>
      </c>
      <c r="E246">
        <v>15514512</v>
      </c>
      <c r="F246">
        <v>1</v>
      </c>
      <c r="G246">
        <v>15514512</v>
      </c>
      <c r="H246">
        <v>1</v>
      </c>
      <c r="I246" t="s">
        <v>391</v>
      </c>
      <c r="J246" t="s">
        <v>3</v>
      </c>
      <c r="K246" t="s">
        <v>392</v>
      </c>
      <c r="L246">
        <v>1191</v>
      </c>
      <c r="N246">
        <v>1013</v>
      </c>
      <c r="O246" t="s">
        <v>393</v>
      </c>
      <c r="P246" t="s">
        <v>393</v>
      </c>
      <c r="Q246">
        <v>1</v>
      </c>
      <c r="X246">
        <v>11.22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3</v>
      </c>
      <c r="AG246">
        <v>11.22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ROW(Source!A659)</f>
        <v>659</v>
      </c>
      <c r="B247">
        <v>1473082385</v>
      </c>
      <c r="C247">
        <v>1473082383</v>
      </c>
      <c r="D247">
        <v>1441836237</v>
      </c>
      <c r="E247">
        <v>1</v>
      </c>
      <c r="F247">
        <v>1</v>
      </c>
      <c r="G247">
        <v>15514512</v>
      </c>
      <c r="H247">
        <v>3</v>
      </c>
      <c r="I247" t="s">
        <v>501</v>
      </c>
      <c r="J247" t="s">
        <v>502</v>
      </c>
      <c r="K247" t="s">
        <v>503</v>
      </c>
      <c r="L247">
        <v>1346</v>
      </c>
      <c r="N247">
        <v>1009</v>
      </c>
      <c r="O247" t="s">
        <v>401</v>
      </c>
      <c r="P247" t="s">
        <v>401</v>
      </c>
      <c r="Q247">
        <v>1</v>
      </c>
      <c r="X247">
        <v>3.9E-2</v>
      </c>
      <c r="Y247">
        <v>375.16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3.9E-2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ROW(Source!A660)</f>
        <v>660</v>
      </c>
      <c r="B248">
        <v>1473082387</v>
      </c>
      <c r="C248">
        <v>1473082386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391</v>
      </c>
      <c r="J248" t="s">
        <v>3</v>
      </c>
      <c r="K248" t="s">
        <v>392</v>
      </c>
      <c r="L248">
        <v>1191</v>
      </c>
      <c r="N248">
        <v>1013</v>
      </c>
      <c r="O248" t="s">
        <v>393</v>
      </c>
      <c r="P248" t="s">
        <v>393</v>
      </c>
      <c r="Q248">
        <v>1</v>
      </c>
      <c r="X248">
        <v>0.38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3</v>
      </c>
      <c r="AG248">
        <v>0.38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ROW(Source!A660)</f>
        <v>660</v>
      </c>
      <c r="B249">
        <v>1473082388</v>
      </c>
      <c r="C249">
        <v>1473082386</v>
      </c>
      <c r="D249">
        <v>1441836237</v>
      </c>
      <c r="E249">
        <v>1</v>
      </c>
      <c r="F249">
        <v>1</v>
      </c>
      <c r="G249">
        <v>15514512</v>
      </c>
      <c r="H249">
        <v>3</v>
      </c>
      <c r="I249" t="s">
        <v>501</v>
      </c>
      <c r="J249" t="s">
        <v>502</v>
      </c>
      <c r="K249" t="s">
        <v>503</v>
      </c>
      <c r="L249">
        <v>1346</v>
      </c>
      <c r="N249">
        <v>1009</v>
      </c>
      <c r="O249" t="s">
        <v>401</v>
      </c>
      <c r="P249" t="s">
        <v>401</v>
      </c>
      <c r="Q249">
        <v>1</v>
      </c>
      <c r="X249">
        <v>1E-3</v>
      </c>
      <c r="Y249">
        <v>375.16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3</v>
      </c>
      <c r="AG249">
        <v>1E-3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ROW(Source!A661)</f>
        <v>661</v>
      </c>
      <c r="B250">
        <v>1473082390</v>
      </c>
      <c r="C250">
        <v>1473082389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391</v>
      </c>
      <c r="J250" t="s">
        <v>3</v>
      </c>
      <c r="K250" t="s">
        <v>392</v>
      </c>
      <c r="L250">
        <v>1191</v>
      </c>
      <c r="N250">
        <v>1013</v>
      </c>
      <c r="O250" t="s">
        <v>393</v>
      </c>
      <c r="P250" t="s">
        <v>393</v>
      </c>
      <c r="Q250">
        <v>1</v>
      </c>
      <c r="X250">
        <v>11.88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3</v>
      </c>
      <c r="AG250">
        <v>11.88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ROW(Source!A661)</f>
        <v>661</v>
      </c>
      <c r="B251">
        <v>1473082391</v>
      </c>
      <c r="C251">
        <v>1473082389</v>
      </c>
      <c r="D251">
        <v>1441836237</v>
      </c>
      <c r="E251">
        <v>1</v>
      </c>
      <c r="F251">
        <v>1</v>
      </c>
      <c r="G251">
        <v>15514512</v>
      </c>
      <c r="H251">
        <v>3</v>
      </c>
      <c r="I251" t="s">
        <v>501</v>
      </c>
      <c r="J251" t="s">
        <v>502</v>
      </c>
      <c r="K251" t="s">
        <v>503</v>
      </c>
      <c r="L251">
        <v>1346</v>
      </c>
      <c r="N251">
        <v>1009</v>
      </c>
      <c r="O251" t="s">
        <v>401</v>
      </c>
      <c r="P251" t="s">
        <v>401</v>
      </c>
      <c r="Q251">
        <v>1</v>
      </c>
      <c r="X251">
        <v>4.2000000000000003E-2</v>
      </c>
      <c r="Y251">
        <v>375.16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4.2000000000000003E-2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ROW(Source!A662)</f>
        <v>662</v>
      </c>
      <c r="B252">
        <v>1473082393</v>
      </c>
      <c r="C252">
        <v>1473082392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391</v>
      </c>
      <c r="J252" t="s">
        <v>3</v>
      </c>
      <c r="K252" t="s">
        <v>392</v>
      </c>
      <c r="L252">
        <v>1191</v>
      </c>
      <c r="N252">
        <v>1013</v>
      </c>
      <c r="O252" t="s">
        <v>393</v>
      </c>
      <c r="P252" t="s">
        <v>393</v>
      </c>
      <c r="Q252">
        <v>1</v>
      </c>
      <c r="X252">
        <v>0.4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</v>
      </c>
      <c r="AG252">
        <v>0.4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ROW(Source!A662)</f>
        <v>662</v>
      </c>
      <c r="B253">
        <v>1473082394</v>
      </c>
      <c r="C253">
        <v>1473082392</v>
      </c>
      <c r="D253">
        <v>1441836237</v>
      </c>
      <c r="E253">
        <v>1</v>
      </c>
      <c r="F253">
        <v>1</v>
      </c>
      <c r="G253">
        <v>15514512</v>
      </c>
      <c r="H253">
        <v>3</v>
      </c>
      <c r="I253" t="s">
        <v>501</v>
      </c>
      <c r="J253" t="s">
        <v>502</v>
      </c>
      <c r="K253" t="s">
        <v>503</v>
      </c>
      <c r="L253">
        <v>1346</v>
      </c>
      <c r="N253">
        <v>1009</v>
      </c>
      <c r="O253" t="s">
        <v>401</v>
      </c>
      <c r="P253" t="s">
        <v>401</v>
      </c>
      <c r="Q253">
        <v>1</v>
      </c>
      <c r="X253">
        <v>1E-3</v>
      </c>
      <c r="Y253">
        <v>375.16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1E-3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ROW(Source!A663)</f>
        <v>663</v>
      </c>
      <c r="B254">
        <v>1473082396</v>
      </c>
      <c r="C254">
        <v>1473082395</v>
      </c>
      <c r="D254">
        <v>1441819193</v>
      </c>
      <c r="E254">
        <v>15514512</v>
      </c>
      <c r="F254">
        <v>1</v>
      </c>
      <c r="G254">
        <v>15514512</v>
      </c>
      <c r="H254">
        <v>1</v>
      </c>
      <c r="I254" t="s">
        <v>391</v>
      </c>
      <c r="J254" t="s">
        <v>3</v>
      </c>
      <c r="K254" t="s">
        <v>392</v>
      </c>
      <c r="L254">
        <v>1191</v>
      </c>
      <c r="N254">
        <v>1013</v>
      </c>
      <c r="O254" t="s">
        <v>393</v>
      </c>
      <c r="P254" t="s">
        <v>393</v>
      </c>
      <c r="Q254">
        <v>1</v>
      </c>
      <c r="X254">
        <v>14.58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3</v>
      </c>
      <c r="AG254">
        <v>14.58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ROW(Source!A663)</f>
        <v>663</v>
      </c>
      <c r="B255">
        <v>1473082397</v>
      </c>
      <c r="C255">
        <v>1473082395</v>
      </c>
      <c r="D255">
        <v>1441836237</v>
      </c>
      <c r="E255">
        <v>1</v>
      </c>
      <c r="F255">
        <v>1</v>
      </c>
      <c r="G255">
        <v>15514512</v>
      </c>
      <c r="H255">
        <v>3</v>
      </c>
      <c r="I255" t="s">
        <v>501</v>
      </c>
      <c r="J255" t="s">
        <v>502</v>
      </c>
      <c r="K255" t="s">
        <v>503</v>
      </c>
      <c r="L255">
        <v>1346</v>
      </c>
      <c r="N255">
        <v>1009</v>
      </c>
      <c r="O255" t="s">
        <v>401</v>
      </c>
      <c r="P255" t="s">
        <v>401</v>
      </c>
      <c r="Q255">
        <v>1</v>
      </c>
      <c r="X255">
        <v>5.0999999999999997E-2</v>
      </c>
      <c r="Y255">
        <v>375.16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5.0999999999999997E-2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ROW(Source!A664)</f>
        <v>664</v>
      </c>
      <c r="B256">
        <v>1473082399</v>
      </c>
      <c r="C256">
        <v>1473082398</v>
      </c>
      <c r="D256">
        <v>1441819193</v>
      </c>
      <c r="E256">
        <v>15514512</v>
      </c>
      <c r="F256">
        <v>1</v>
      </c>
      <c r="G256">
        <v>15514512</v>
      </c>
      <c r="H256">
        <v>1</v>
      </c>
      <c r="I256" t="s">
        <v>391</v>
      </c>
      <c r="J256" t="s">
        <v>3</v>
      </c>
      <c r="K256" t="s">
        <v>392</v>
      </c>
      <c r="L256">
        <v>1191</v>
      </c>
      <c r="N256">
        <v>1013</v>
      </c>
      <c r="O256" t="s">
        <v>393</v>
      </c>
      <c r="P256" t="s">
        <v>393</v>
      </c>
      <c r="Q256">
        <v>1</v>
      </c>
      <c r="X256">
        <v>3.24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1</v>
      </c>
      <c r="AF256" t="s">
        <v>3</v>
      </c>
      <c r="AG256">
        <v>3.24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ROW(Source!A664)</f>
        <v>664</v>
      </c>
      <c r="B257">
        <v>1473082400</v>
      </c>
      <c r="C257">
        <v>1473082398</v>
      </c>
      <c r="D257">
        <v>1441836237</v>
      </c>
      <c r="E257">
        <v>1</v>
      </c>
      <c r="F257">
        <v>1</v>
      </c>
      <c r="G257">
        <v>15514512</v>
      </c>
      <c r="H257">
        <v>3</v>
      </c>
      <c r="I257" t="s">
        <v>501</v>
      </c>
      <c r="J257" t="s">
        <v>502</v>
      </c>
      <c r="K257" t="s">
        <v>503</v>
      </c>
      <c r="L257">
        <v>1346</v>
      </c>
      <c r="N257">
        <v>1009</v>
      </c>
      <c r="O257" t="s">
        <v>401</v>
      </c>
      <c r="P257" t="s">
        <v>401</v>
      </c>
      <c r="Q257">
        <v>1</v>
      </c>
      <c r="X257">
        <v>1.0999999999999999E-2</v>
      </c>
      <c r="Y257">
        <v>375.16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1.0999999999999999E-2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ROW(Source!A665)</f>
        <v>665</v>
      </c>
      <c r="B258">
        <v>1473082402</v>
      </c>
      <c r="C258">
        <v>1473082401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391</v>
      </c>
      <c r="J258" t="s">
        <v>3</v>
      </c>
      <c r="K258" t="s">
        <v>392</v>
      </c>
      <c r="L258">
        <v>1191</v>
      </c>
      <c r="N258">
        <v>1013</v>
      </c>
      <c r="O258" t="s">
        <v>393</v>
      </c>
      <c r="P258" t="s">
        <v>393</v>
      </c>
      <c r="Q258">
        <v>1</v>
      </c>
      <c r="X258">
        <v>0.49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3</v>
      </c>
      <c r="AG258">
        <v>0.49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ROW(Source!A665)</f>
        <v>665</v>
      </c>
      <c r="B259">
        <v>1473082403</v>
      </c>
      <c r="C259">
        <v>1473082401</v>
      </c>
      <c r="D259">
        <v>1441836237</v>
      </c>
      <c r="E259">
        <v>1</v>
      </c>
      <c r="F259">
        <v>1</v>
      </c>
      <c r="G259">
        <v>15514512</v>
      </c>
      <c r="H259">
        <v>3</v>
      </c>
      <c r="I259" t="s">
        <v>501</v>
      </c>
      <c r="J259" t="s">
        <v>502</v>
      </c>
      <c r="K259" t="s">
        <v>503</v>
      </c>
      <c r="L259">
        <v>1346</v>
      </c>
      <c r="N259">
        <v>1009</v>
      </c>
      <c r="O259" t="s">
        <v>401</v>
      </c>
      <c r="P259" t="s">
        <v>401</v>
      </c>
      <c r="Q259">
        <v>1</v>
      </c>
      <c r="X259">
        <v>2E-3</v>
      </c>
      <c r="Y259">
        <v>375.16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</v>
      </c>
      <c r="AG259">
        <v>2E-3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ROW(Source!A666)</f>
        <v>666</v>
      </c>
      <c r="B260">
        <v>1473082405</v>
      </c>
      <c r="C260">
        <v>1473082404</v>
      </c>
      <c r="D260">
        <v>1441819193</v>
      </c>
      <c r="E260">
        <v>15514512</v>
      </c>
      <c r="F260">
        <v>1</v>
      </c>
      <c r="G260">
        <v>15514512</v>
      </c>
      <c r="H260">
        <v>1</v>
      </c>
      <c r="I260" t="s">
        <v>391</v>
      </c>
      <c r="J260" t="s">
        <v>3</v>
      </c>
      <c r="K260" t="s">
        <v>392</v>
      </c>
      <c r="L260">
        <v>1191</v>
      </c>
      <c r="N260">
        <v>1013</v>
      </c>
      <c r="O260" t="s">
        <v>393</v>
      </c>
      <c r="P260" t="s">
        <v>393</v>
      </c>
      <c r="Q260">
        <v>1</v>
      </c>
      <c r="X260">
        <v>7.14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1</v>
      </c>
      <c r="AF260" t="s">
        <v>3</v>
      </c>
      <c r="AG260">
        <v>7.14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ROW(Source!A666)</f>
        <v>666</v>
      </c>
      <c r="B261">
        <v>1473082406</v>
      </c>
      <c r="C261">
        <v>1473082404</v>
      </c>
      <c r="D261">
        <v>1441836237</v>
      </c>
      <c r="E261">
        <v>1</v>
      </c>
      <c r="F261">
        <v>1</v>
      </c>
      <c r="G261">
        <v>15514512</v>
      </c>
      <c r="H261">
        <v>3</v>
      </c>
      <c r="I261" t="s">
        <v>501</v>
      </c>
      <c r="J261" t="s">
        <v>502</v>
      </c>
      <c r="K261" t="s">
        <v>503</v>
      </c>
      <c r="L261">
        <v>1346</v>
      </c>
      <c r="N261">
        <v>1009</v>
      </c>
      <c r="O261" t="s">
        <v>401</v>
      </c>
      <c r="P261" t="s">
        <v>401</v>
      </c>
      <c r="Q261">
        <v>1</v>
      </c>
      <c r="X261">
        <v>0.06</v>
      </c>
      <c r="Y261">
        <v>375.16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0.06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ROW(Source!A667)</f>
        <v>667</v>
      </c>
      <c r="B262">
        <v>1473082408</v>
      </c>
      <c r="C262">
        <v>1473082407</v>
      </c>
      <c r="D262">
        <v>1441819193</v>
      </c>
      <c r="E262">
        <v>15514512</v>
      </c>
      <c r="F262">
        <v>1</v>
      </c>
      <c r="G262">
        <v>15514512</v>
      </c>
      <c r="H262">
        <v>1</v>
      </c>
      <c r="I262" t="s">
        <v>391</v>
      </c>
      <c r="J262" t="s">
        <v>3</v>
      </c>
      <c r="K262" t="s">
        <v>392</v>
      </c>
      <c r="L262">
        <v>1191</v>
      </c>
      <c r="N262">
        <v>1013</v>
      </c>
      <c r="O262" t="s">
        <v>393</v>
      </c>
      <c r="P262" t="s">
        <v>393</v>
      </c>
      <c r="Q262">
        <v>1</v>
      </c>
      <c r="X262">
        <v>0.24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1</v>
      </c>
      <c r="AF262" t="s">
        <v>3</v>
      </c>
      <c r="AG262">
        <v>0.24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ROW(Source!A668)</f>
        <v>668</v>
      </c>
      <c r="B263">
        <v>1473082411</v>
      </c>
      <c r="C263">
        <v>1473082409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391</v>
      </c>
      <c r="J263" t="s">
        <v>3</v>
      </c>
      <c r="K263" t="s">
        <v>392</v>
      </c>
      <c r="L263">
        <v>1191</v>
      </c>
      <c r="N263">
        <v>1013</v>
      </c>
      <c r="O263" t="s">
        <v>393</v>
      </c>
      <c r="P263" t="s">
        <v>393</v>
      </c>
      <c r="Q263">
        <v>1</v>
      </c>
      <c r="X263">
        <v>0.7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3</v>
      </c>
      <c r="AG263">
        <v>0.7</v>
      </c>
      <c r="AH263">
        <v>2</v>
      </c>
      <c r="AI263">
        <v>1473082410</v>
      </c>
      <c r="AJ263">
        <v>143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ROW(Source!A669)</f>
        <v>669</v>
      </c>
      <c r="B264">
        <v>1473082413</v>
      </c>
      <c r="C264">
        <v>1473082412</v>
      </c>
      <c r="D264">
        <v>1441819193</v>
      </c>
      <c r="E264">
        <v>15514512</v>
      </c>
      <c r="F264">
        <v>1</v>
      </c>
      <c r="G264">
        <v>15514512</v>
      </c>
      <c r="H264">
        <v>1</v>
      </c>
      <c r="I264" t="s">
        <v>391</v>
      </c>
      <c r="J264" t="s">
        <v>3</v>
      </c>
      <c r="K264" t="s">
        <v>392</v>
      </c>
      <c r="L264">
        <v>1191</v>
      </c>
      <c r="N264">
        <v>1013</v>
      </c>
      <c r="O264" t="s">
        <v>393</v>
      </c>
      <c r="P264" t="s">
        <v>393</v>
      </c>
      <c r="Q264">
        <v>1</v>
      </c>
      <c r="X264">
        <v>14.58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1</v>
      </c>
      <c r="AF264" t="s">
        <v>3</v>
      </c>
      <c r="AG264">
        <v>14.58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ROW(Source!A669)</f>
        <v>669</v>
      </c>
      <c r="B265">
        <v>1473082414</v>
      </c>
      <c r="C265">
        <v>1473082412</v>
      </c>
      <c r="D265">
        <v>1441836237</v>
      </c>
      <c r="E265">
        <v>1</v>
      </c>
      <c r="F265">
        <v>1</v>
      </c>
      <c r="G265">
        <v>15514512</v>
      </c>
      <c r="H265">
        <v>3</v>
      </c>
      <c r="I265" t="s">
        <v>501</v>
      </c>
      <c r="J265" t="s">
        <v>502</v>
      </c>
      <c r="K265" t="s">
        <v>503</v>
      </c>
      <c r="L265">
        <v>1346</v>
      </c>
      <c r="N265">
        <v>1009</v>
      </c>
      <c r="O265" t="s">
        <v>401</v>
      </c>
      <c r="P265" t="s">
        <v>401</v>
      </c>
      <c r="Q265">
        <v>1</v>
      </c>
      <c r="X265">
        <v>5.0999999999999997E-2</v>
      </c>
      <c r="Y265">
        <v>375.16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5.0999999999999997E-2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ROW(Source!A670)</f>
        <v>670</v>
      </c>
      <c r="B266">
        <v>1473082416</v>
      </c>
      <c r="C266">
        <v>1473082415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391</v>
      </c>
      <c r="J266" t="s">
        <v>3</v>
      </c>
      <c r="K266" t="s">
        <v>392</v>
      </c>
      <c r="L266">
        <v>1191</v>
      </c>
      <c r="N266">
        <v>1013</v>
      </c>
      <c r="O266" t="s">
        <v>393</v>
      </c>
      <c r="P266" t="s">
        <v>393</v>
      </c>
      <c r="Q266">
        <v>1</v>
      </c>
      <c r="X266">
        <v>3.24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</v>
      </c>
      <c r="AG266">
        <v>3.24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ROW(Source!A670)</f>
        <v>670</v>
      </c>
      <c r="B267">
        <v>1473082417</v>
      </c>
      <c r="C267">
        <v>1473082415</v>
      </c>
      <c r="D267">
        <v>1441836237</v>
      </c>
      <c r="E267">
        <v>1</v>
      </c>
      <c r="F267">
        <v>1</v>
      </c>
      <c r="G267">
        <v>15514512</v>
      </c>
      <c r="H267">
        <v>3</v>
      </c>
      <c r="I267" t="s">
        <v>501</v>
      </c>
      <c r="J267" t="s">
        <v>502</v>
      </c>
      <c r="K267" t="s">
        <v>503</v>
      </c>
      <c r="L267">
        <v>1346</v>
      </c>
      <c r="N267">
        <v>1009</v>
      </c>
      <c r="O267" t="s">
        <v>401</v>
      </c>
      <c r="P267" t="s">
        <v>401</v>
      </c>
      <c r="Q267">
        <v>1</v>
      </c>
      <c r="X267">
        <v>1.0999999999999999E-2</v>
      </c>
      <c r="Y267">
        <v>375.16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1.0999999999999999E-2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ROW(Source!A671)</f>
        <v>671</v>
      </c>
      <c r="B268">
        <v>1473082423</v>
      </c>
      <c r="C268">
        <v>1473082418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391</v>
      </c>
      <c r="J268" t="s">
        <v>3</v>
      </c>
      <c r="K268" t="s">
        <v>392</v>
      </c>
      <c r="L268">
        <v>1191</v>
      </c>
      <c r="N268">
        <v>1013</v>
      </c>
      <c r="O268" t="s">
        <v>393</v>
      </c>
      <c r="P268" t="s">
        <v>393</v>
      </c>
      <c r="Q268">
        <v>1</v>
      </c>
      <c r="X268">
        <v>0.7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3</v>
      </c>
      <c r="AG268">
        <v>0.7</v>
      </c>
      <c r="AH268">
        <v>2</v>
      </c>
      <c r="AI268">
        <v>1473082419</v>
      </c>
      <c r="AJ268">
        <v>144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569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280</v>
      </c>
      <c r="H1" t="s">
        <v>3</v>
      </c>
      <c r="I1" t="s">
        <v>280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504</v>
      </c>
      <c r="T1" t="s">
        <v>505</v>
      </c>
      <c r="U1" t="s">
        <v>506</v>
      </c>
    </row>
    <row r="2" spans="1:21" x14ac:dyDescent="0.2">
      <c r="A2">
        <v>570</v>
      </c>
      <c r="B2">
        <v>1</v>
      </c>
      <c r="C2" t="s">
        <v>3</v>
      </c>
      <c r="D2" t="s">
        <v>3</v>
      </c>
      <c r="E2" t="s">
        <v>3</v>
      </c>
      <c r="F2" t="s">
        <v>3</v>
      </c>
      <c r="G2" t="s">
        <v>280</v>
      </c>
      <c r="H2" t="s">
        <v>3</v>
      </c>
      <c r="I2" t="s">
        <v>280</v>
      </c>
      <c r="J2" t="s">
        <v>3</v>
      </c>
      <c r="K2" t="s">
        <v>3</v>
      </c>
      <c r="L2" t="s">
        <v>3</v>
      </c>
      <c r="M2" t="s">
        <v>3</v>
      </c>
      <c r="N2" t="s">
        <v>3</v>
      </c>
      <c r="O2" t="s">
        <v>3</v>
      </c>
      <c r="P2" t="s">
        <v>3</v>
      </c>
      <c r="Q2" t="s">
        <v>3</v>
      </c>
      <c r="R2" t="s">
        <v>3</v>
      </c>
      <c r="S2" t="s">
        <v>504</v>
      </c>
      <c r="T2" t="s">
        <v>505</v>
      </c>
      <c r="U2" t="s">
        <v>506</v>
      </c>
    </row>
    <row r="3" spans="1:21" x14ac:dyDescent="0.2">
      <c r="A3">
        <v>573</v>
      </c>
      <c r="B3">
        <v>1</v>
      </c>
      <c r="C3" t="s">
        <v>3</v>
      </c>
      <c r="D3" t="s">
        <v>3</v>
      </c>
      <c r="E3" t="s">
        <v>3</v>
      </c>
      <c r="F3" t="s">
        <v>3</v>
      </c>
      <c r="G3" t="s">
        <v>280</v>
      </c>
      <c r="H3" t="s">
        <v>3</v>
      </c>
      <c r="I3" t="s">
        <v>280</v>
      </c>
      <c r="J3" t="s">
        <v>3</v>
      </c>
      <c r="K3" t="s">
        <v>3</v>
      </c>
      <c r="L3" t="s">
        <v>3</v>
      </c>
      <c r="M3" t="s">
        <v>3</v>
      </c>
      <c r="N3" t="s">
        <v>3</v>
      </c>
      <c r="O3" t="s">
        <v>3</v>
      </c>
      <c r="P3" t="s">
        <v>3</v>
      </c>
      <c r="Q3" t="s">
        <v>3</v>
      </c>
      <c r="R3" t="s">
        <v>3</v>
      </c>
      <c r="S3" t="s">
        <v>504</v>
      </c>
      <c r="T3" t="s">
        <v>505</v>
      </c>
      <c r="U3" t="s">
        <v>506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Паркинг 2_на 4 мес. (10%)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2025-12-10T08:38:32Z</dcterms:created>
  <dcterms:modified xsi:type="dcterms:W3CDTF">2025-12-11T13:29:09Z</dcterms:modified>
</cp:coreProperties>
</file>